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315" windowHeight="8760"/>
  </bookViews>
  <sheets>
    <sheet name="Introduction" sheetId="2" r:id="rId1"/>
    <sheet name="Calculations" sheetId="1" r:id="rId2"/>
    <sheet name="Sheet3" sheetId="3" r:id="rId3"/>
  </sheets>
  <definedNames>
    <definedName name="_F">Calculations!$B$12</definedName>
    <definedName name="_Iv1">Calculations!$B$5</definedName>
    <definedName name="_Iv2">Calculations!$C$5</definedName>
    <definedName name="_R">Calculations!$B$8</definedName>
    <definedName name="_X1">Calculations!$B$3</definedName>
    <definedName name="_X2">Calculations!$C$3</definedName>
    <definedName name="_Z1">Calculations!$B$4</definedName>
    <definedName name="_Z2">Calculations!$C$4</definedName>
    <definedName name="Csb">Calculations!$B$9</definedName>
    <definedName name="Fage">Calculations!$B$13</definedName>
    <definedName name="Lo">Calculations!$B$7</definedName>
    <definedName name="SF">Calculations!$B$11</definedName>
    <definedName name="Vc">Calculations!$B$10</definedName>
  </definedNames>
  <calcPr calcId="125725"/>
</workbook>
</file>

<file path=xl/calcChain.xml><?xml version="1.0" encoding="utf-8"?>
<calcChain xmlns="http://schemas.openxmlformats.org/spreadsheetml/2006/main">
  <c r="P46" i="1"/>
  <c r="P47"/>
  <c r="P48"/>
  <c r="P49"/>
  <c r="P50"/>
  <c r="P51"/>
  <c r="P52"/>
  <c r="P45"/>
  <c r="P35"/>
  <c r="P36"/>
  <c r="P37"/>
  <c r="P38"/>
  <c r="P39"/>
  <c r="P40"/>
  <c r="P41"/>
  <c r="P34"/>
  <c r="C46"/>
  <c r="D46"/>
  <c r="C47"/>
  <c r="D47"/>
  <c r="C48"/>
  <c r="D48"/>
  <c r="C49"/>
  <c r="D49"/>
  <c r="C50"/>
  <c r="D50"/>
  <c r="C51"/>
  <c r="D51"/>
  <c r="C52"/>
  <c r="D52"/>
  <c r="D45"/>
  <c r="C45"/>
  <c r="C35"/>
  <c r="D35"/>
  <c r="C36"/>
  <c r="D36"/>
  <c r="C37"/>
  <c r="D37"/>
  <c r="C38"/>
  <c r="D38"/>
  <c r="C39"/>
  <c r="D39"/>
  <c r="C40"/>
  <c r="D40"/>
  <c r="C41"/>
  <c r="D41"/>
  <c r="D34"/>
  <c r="C34"/>
  <c r="B46"/>
  <c r="B47"/>
  <c r="O47" s="1"/>
  <c r="B48"/>
  <c r="O48" s="1"/>
  <c r="B49"/>
  <c r="B50"/>
  <c r="B51"/>
  <c r="O51" s="1"/>
  <c r="B52"/>
  <c r="O52" s="1"/>
  <c r="B45"/>
  <c r="K45" s="1"/>
  <c r="B35"/>
  <c r="B36"/>
  <c r="O36" s="1"/>
  <c r="B37"/>
  <c r="B38"/>
  <c r="B39"/>
  <c r="O39" s="1"/>
  <c r="B40"/>
  <c r="B41"/>
  <c r="O41" s="1"/>
  <c r="B34"/>
  <c r="E34" s="1"/>
  <c r="F34" s="1"/>
  <c r="A46"/>
  <c r="A47" s="1"/>
  <c r="A48" s="1"/>
  <c r="A49" s="1"/>
  <c r="A50" s="1"/>
  <c r="A51" s="1"/>
  <c r="A52" s="1"/>
  <c r="A22"/>
  <c r="A35"/>
  <c r="A23" s="1"/>
  <c r="O40" l="1"/>
  <c r="O37"/>
  <c r="O38"/>
  <c r="O35"/>
  <c r="O34"/>
  <c r="O46"/>
  <c r="O49"/>
  <c r="O50"/>
  <c r="O45"/>
  <c r="E46"/>
  <c r="F46" s="1"/>
  <c r="E45"/>
  <c r="F45" s="1"/>
  <c r="M45"/>
  <c r="G34"/>
  <c r="H34" s="1"/>
  <c r="A36"/>
  <c r="K34"/>
  <c r="M34"/>
  <c r="J34" l="1"/>
  <c r="F22" s="1"/>
  <c r="M46"/>
  <c r="K46"/>
  <c r="G46"/>
  <c r="H46" s="1"/>
  <c r="A24"/>
  <c r="G45"/>
  <c r="A37"/>
  <c r="E35"/>
  <c r="F35" s="1"/>
  <c r="G35" s="1"/>
  <c r="M35"/>
  <c r="K35"/>
  <c r="I34"/>
  <c r="J46" l="1"/>
  <c r="G23" s="1"/>
  <c r="I46"/>
  <c r="E23" s="1"/>
  <c r="L34"/>
  <c r="Q34" s="1"/>
  <c r="R34" s="1"/>
  <c r="S34" s="1"/>
  <c r="H22" s="1"/>
  <c r="D22"/>
  <c r="E47"/>
  <c r="F47" s="1"/>
  <c r="G47" s="1"/>
  <c r="H47" s="1"/>
  <c r="K47"/>
  <c r="M47"/>
  <c r="A25"/>
  <c r="H45"/>
  <c r="H35"/>
  <c r="A38"/>
  <c r="E36"/>
  <c r="F36" s="1"/>
  <c r="G36" s="1"/>
  <c r="M36"/>
  <c r="K36"/>
  <c r="J35" l="1"/>
  <c r="F23" s="1"/>
  <c r="J45"/>
  <c r="G22" s="1"/>
  <c r="J47"/>
  <c r="G24" s="1"/>
  <c r="L46"/>
  <c r="I47"/>
  <c r="E24" s="1"/>
  <c r="A26"/>
  <c r="N34"/>
  <c r="B22"/>
  <c r="M48"/>
  <c r="K48"/>
  <c r="E48"/>
  <c r="F48" s="1"/>
  <c r="G48" s="1"/>
  <c r="I45"/>
  <c r="E22" s="1"/>
  <c r="I35"/>
  <c r="E37"/>
  <c r="F37" s="1"/>
  <c r="M37"/>
  <c r="K37"/>
  <c r="A39"/>
  <c r="H36"/>
  <c r="J36" l="1"/>
  <c r="F24" s="1"/>
  <c r="N46"/>
  <c r="Q46"/>
  <c r="R46" s="1"/>
  <c r="S46" s="1"/>
  <c r="I23" s="1"/>
  <c r="C23"/>
  <c r="L47"/>
  <c r="K49"/>
  <c r="E49"/>
  <c r="F49" s="1"/>
  <c r="G49" s="1"/>
  <c r="H49" s="1"/>
  <c r="M49"/>
  <c r="H48"/>
  <c r="A27"/>
  <c r="L35"/>
  <c r="Q35" s="1"/>
  <c r="R35" s="1"/>
  <c r="S35" s="1"/>
  <c r="H23" s="1"/>
  <c r="D23"/>
  <c r="L45"/>
  <c r="Q45" s="1"/>
  <c r="R45" s="1"/>
  <c r="S45" s="1"/>
  <c r="I22" s="1"/>
  <c r="A40"/>
  <c r="G37"/>
  <c r="H37" s="1"/>
  <c r="E38"/>
  <c r="F38" s="1"/>
  <c r="M38"/>
  <c r="K38"/>
  <c r="I36"/>
  <c r="I37" l="1"/>
  <c r="D25" s="1"/>
  <c r="J37"/>
  <c r="J49"/>
  <c r="G26" s="1"/>
  <c r="J48"/>
  <c r="G25" s="1"/>
  <c r="C24"/>
  <c r="Q47"/>
  <c r="R47" s="1"/>
  <c r="S47" s="1"/>
  <c r="I24" s="1"/>
  <c r="N47"/>
  <c r="I48"/>
  <c r="A28"/>
  <c r="L36"/>
  <c r="Q36" s="1"/>
  <c r="R36" s="1"/>
  <c r="S36" s="1"/>
  <c r="H24" s="1"/>
  <c r="D24"/>
  <c r="K50"/>
  <c r="M50"/>
  <c r="E50"/>
  <c r="F50" s="1"/>
  <c r="G50" s="1"/>
  <c r="H50" s="1"/>
  <c r="I49"/>
  <c r="N35"/>
  <c r="B23"/>
  <c r="N45"/>
  <c r="C22"/>
  <c r="A41"/>
  <c r="G38"/>
  <c r="E39"/>
  <c r="F39" s="1"/>
  <c r="M39"/>
  <c r="K39"/>
  <c r="J50" l="1"/>
  <c r="G27" s="1"/>
  <c r="A29"/>
  <c r="E26"/>
  <c r="L49"/>
  <c r="Q49" s="1"/>
  <c r="R49" s="1"/>
  <c r="S49" s="1"/>
  <c r="I26" s="1"/>
  <c r="E25"/>
  <c r="L48"/>
  <c r="Q48" s="1"/>
  <c r="R48" s="1"/>
  <c r="S48" s="1"/>
  <c r="I25" s="1"/>
  <c r="K51"/>
  <c r="E51"/>
  <c r="F51" s="1"/>
  <c r="G51" s="1"/>
  <c r="M51"/>
  <c r="L37"/>
  <c r="Q37" s="1"/>
  <c r="R37" s="1"/>
  <c r="S37" s="1"/>
  <c r="H25" s="1"/>
  <c r="F25"/>
  <c r="N36"/>
  <c r="B24"/>
  <c r="I50"/>
  <c r="E27" s="1"/>
  <c r="G39"/>
  <c r="H39" s="1"/>
  <c r="H38"/>
  <c r="E40"/>
  <c r="F40" s="1"/>
  <c r="G40" s="1"/>
  <c r="M40"/>
  <c r="K40"/>
  <c r="I39" l="1"/>
  <c r="D27" s="1"/>
  <c r="J39"/>
  <c r="J38"/>
  <c r="F26" s="1"/>
  <c r="N48"/>
  <c r="C25"/>
  <c r="K52"/>
  <c r="M52"/>
  <c r="E52"/>
  <c r="F52" s="1"/>
  <c r="G52" s="1"/>
  <c r="L50"/>
  <c r="Q50" s="1"/>
  <c r="R50" s="1"/>
  <c r="S50" s="1"/>
  <c r="I27" s="1"/>
  <c r="N37"/>
  <c r="B25"/>
  <c r="C26"/>
  <c r="N49"/>
  <c r="H51"/>
  <c r="I38"/>
  <c r="H40"/>
  <c r="E41"/>
  <c r="F41" s="1"/>
  <c r="M41"/>
  <c r="K41"/>
  <c r="J40" l="1"/>
  <c r="F28" s="1"/>
  <c r="J51"/>
  <c r="G28" s="1"/>
  <c r="I51"/>
  <c r="C27"/>
  <c r="N50"/>
  <c r="L39"/>
  <c r="Q39" s="1"/>
  <c r="R39" s="1"/>
  <c r="S39" s="1"/>
  <c r="H27" s="1"/>
  <c r="F27"/>
  <c r="L38"/>
  <c r="Q38" s="1"/>
  <c r="R38" s="1"/>
  <c r="S38" s="1"/>
  <c r="H26" s="1"/>
  <c r="D26"/>
  <c r="H52"/>
  <c r="I40"/>
  <c r="G41"/>
  <c r="H41" s="1"/>
  <c r="I41" l="1"/>
  <c r="D29" s="1"/>
  <c r="J41"/>
  <c r="J52"/>
  <c r="G29" s="1"/>
  <c r="I52"/>
  <c r="E29" s="1"/>
  <c r="E28"/>
  <c r="L51"/>
  <c r="Q51" s="1"/>
  <c r="R51" s="1"/>
  <c r="S51" s="1"/>
  <c r="I28" s="1"/>
  <c r="N39"/>
  <c r="B27"/>
  <c r="L40"/>
  <c r="Q40" s="1"/>
  <c r="R40" s="1"/>
  <c r="S40" s="1"/>
  <c r="H28" s="1"/>
  <c r="D28"/>
  <c r="N38"/>
  <c r="B26"/>
  <c r="L52" l="1"/>
  <c r="C28"/>
  <c r="N51"/>
  <c r="L41"/>
  <c r="Q41" s="1"/>
  <c r="R41" s="1"/>
  <c r="S41" s="1"/>
  <c r="H29" s="1"/>
  <c r="F29"/>
  <c r="N40"/>
  <c r="B28"/>
  <c r="N52" l="1"/>
  <c r="Q52"/>
  <c r="R52" s="1"/>
  <c r="S52" s="1"/>
  <c r="I29" s="1"/>
  <c r="C29"/>
  <c r="N41"/>
  <c r="B29"/>
</calcChain>
</file>

<file path=xl/sharedStrings.xml><?xml version="1.0" encoding="utf-8"?>
<sst xmlns="http://schemas.openxmlformats.org/spreadsheetml/2006/main" count="143" uniqueCount="107">
  <si>
    <t>Effect of Center of Gravity on Backspin</t>
  </si>
  <si>
    <t>Parameters (refer to figure at right)</t>
  </si>
  <si>
    <t>The spreadsheet supports two (X,Z) points to allow comparing the positions of the CG.</t>
  </si>
  <si>
    <t>The origin of coordinates is the point on the face where the loft is nominal.</t>
  </si>
  <si>
    <t xml:space="preserve">(0,0) </t>
  </si>
  <si>
    <t>Lo</t>
  </si>
  <si>
    <t>Nominal loft of the club</t>
  </si>
  <si>
    <t>X</t>
  </si>
  <si>
    <t>The horizontal distance of the CG behind the (0,0) point.</t>
  </si>
  <si>
    <t>Z</t>
  </si>
  <si>
    <t>The vertical distance of the CG above the (0,0) point. In the figure, Z is negative because it is below (0,0).</t>
  </si>
  <si>
    <t>h</t>
  </si>
  <si>
    <t>The vertical distance along the face between (0,0) and the impact point.</t>
  </si>
  <si>
    <t>R</t>
  </si>
  <si>
    <t>Radius of the face curvature, specifically face roll.</t>
  </si>
  <si>
    <t>Li</t>
  </si>
  <si>
    <t>Loft of the face at the impact point. This could be different from the nominal loft, due to face curvature and shaft bend.</t>
  </si>
  <si>
    <t>Parameters not on the figure</t>
  </si>
  <si>
    <t>Iv</t>
  </si>
  <si>
    <t>Vertical moment of inertia of the clubhead. (Default 2950)</t>
  </si>
  <si>
    <t>Csb</t>
  </si>
  <si>
    <t>Computed intermediate parameters (refer to lower figure)</t>
  </si>
  <si>
    <t>C</t>
  </si>
  <si>
    <t>y</t>
  </si>
  <si>
    <t>A</t>
  </si>
  <si>
    <t>m</t>
  </si>
  <si>
    <t>Slope corresponding to launch angle.</t>
  </si>
  <si>
    <t>Depth of CG, for use in VGE spin formula.</t>
  </si>
  <si>
    <t>Distance of impact line from CG, for use in VGE spin formula.</t>
  </si>
  <si>
    <t>Launch angle.</t>
  </si>
  <si>
    <t>(I,j)</t>
  </si>
  <si>
    <t>Coordinates of the impact point.</t>
  </si>
  <si>
    <t>(s,t)</t>
  </si>
  <si>
    <t>Coordinates of the point at the intersection of the C-line and the y-line.</t>
  </si>
  <si>
    <t>The spreadsheet supports two values of Iv, corresponding to the two (X,Z) points. This allows a moving CG to also change the moment of inertia.</t>
  </si>
  <si>
    <t>Equations for the calculations</t>
  </si>
  <si>
    <t>Li =</t>
  </si>
  <si>
    <t>j =</t>
  </si>
  <si>
    <t>A =</t>
  </si>
  <si>
    <t>Li (0.96 - .0071 Li)</t>
  </si>
  <si>
    <t>m =</t>
  </si>
  <si>
    <t>tan (A)</t>
  </si>
  <si>
    <t>s =</t>
  </si>
  <si>
    <t>t =</t>
  </si>
  <si>
    <t>C =</t>
  </si>
  <si>
    <t>sqrt ((s-i)^2 + (t-j)^2)</t>
  </si>
  <si>
    <t>y =</t>
  </si>
  <si>
    <t>Now we need (s,t). We write the equations for the two green dotted lines, using the point-slope form. The solution of the two equations is the intersection, (s,t).</t>
  </si>
  <si>
    <t>Finally, compute the spins.</t>
  </si>
  <si>
    <t>VGE spin =</t>
  </si>
  <si>
    <t>Loft spin =</t>
  </si>
  <si>
    <t>SPIN =</t>
  </si>
  <si>
    <t>Loft spin - VGE spin</t>
  </si>
  <si>
    <t>SF</t>
  </si>
  <si>
    <t>Smash factor for the club and impact in question. (Default 1.48, typical for a driver with perfect impact.)</t>
  </si>
  <si>
    <t>Vc</t>
  </si>
  <si>
    <t>Clubhead speed in MPH. (Default 100)</t>
  </si>
  <si>
    <t>Vb =</t>
  </si>
  <si>
    <t>Vc * SF * cos (Li)</t>
  </si>
  <si>
    <t>58830 * Vb * C * y / Iv</t>
  </si>
  <si>
    <t>160 * Vc * sin (Li)</t>
  </si>
  <si>
    <t>CG loc #2</t>
  </si>
  <si>
    <t>CG loc #1</t>
  </si>
  <si>
    <t>i =</t>
  </si>
  <si>
    <t>Write only in blue cells. Other cells are locked!</t>
  </si>
  <si>
    <t>j</t>
  </si>
  <si>
    <t>i</t>
  </si>
  <si>
    <t>s</t>
  </si>
  <si>
    <t>t</t>
  </si>
  <si>
    <t>m(i-s) + j</t>
  </si>
  <si>
    <t>Vb</t>
  </si>
  <si>
    <t>VGE spin</t>
  </si>
  <si>
    <t>Loft spin</t>
  </si>
  <si>
    <t>SPIN</t>
  </si>
  <si>
    <t>(m/(m^2+1)) (j + mi -Z + X/m)</t>
  </si>
  <si>
    <t>CG Location #1</t>
  </si>
  <si>
    <t>CG Location #2</t>
  </si>
  <si>
    <t>Important results</t>
  </si>
  <si>
    <t>VGE spin 1</t>
  </si>
  <si>
    <t>VGE spin 2</t>
  </si>
  <si>
    <t>C1</t>
  </si>
  <si>
    <t>C2</t>
  </si>
  <si>
    <t>y1</t>
  </si>
  <si>
    <t>y2</t>
  </si>
  <si>
    <t>Equations for launch angle</t>
  </si>
  <si>
    <t>F</t>
  </si>
  <si>
    <t>Face progression, the distance back (X dimension) to the centerline of the shaft from the [0,0] point on the clubface.</t>
  </si>
  <si>
    <t>Lo + Csb (X-F) + arcsin (h/R)</t>
  </si>
  <si>
    <t>Coefficient of shaft bend, in degrees of loft per inch of horizontal CG movement. (Default 1.5. Zero Csb to eliminate any shaft bend effects.)</t>
  </si>
  <si>
    <t>Shead =</t>
  </si>
  <si>
    <t>h cos (Lo + Csb(X-F))</t>
  </si>
  <si>
    <t>h sin (Lo + Csb(X-F)) + h^2/2R</t>
  </si>
  <si>
    <t>5.04 * VGEspin / C    (in degrees per second)</t>
  </si>
  <si>
    <t>Lge =</t>
  </si>
  <si>
    <t>Total LA =</t>
  </si>
  <si>
    <t>(Li+Lge) (0.96 - .0071(Li+Lge))</t>
  </si>
  <si>
    <t>L loft</t>
  </si>
  <si>
    <t>L flex</t>
  </si>
  <si>
    <t>L ge</t>
  </si>
  <si>
    <t>L total</t>
  </si>
  <si>
    <t>LA</t>
  </si>
  <si>
    <t>Fage</t>
  </si>
  <si>
    <t>Fraction of total head rotation that shows up as eff. Loft</t>
  </si>
  <si>
    <t>Shead * .0002 * Fage</t>
  </si>
  <si>
    <t>Launch 1</t>
  </si>
  <si>
    <t>Launch 2</t>
  </si>
  <si>
    <t>(t-Z) / cos(A)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</si>
</sst>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3" borderId="1" xfId="0" applyFill="1" applyBorder="1" applyProtection="1">
      <protection locked="0"/>
    </xf>
    <xf numFmtId="0" fontId="0" fillId="0" borderId="0" xfId="0" applyProtection="1"/>
    <xf numFmtId="0" fontId="4" fillId="4" borderId="0" xfId="0" applyFont="1" applyFill="1" applyProtection="1"/>
    <xf numFmtId="0" fontId="4" fillId="2" borderId="0" xfId="0" applyFont="1" applyFill="1" applyProtection="1"/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3" fillId="0" borderId="0" xfId="0" applyFont="1" applyFill="1" applyProtection="1"/>
    <xf numFmtId="0" fontId="0" fillId="0" borderId="1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4" fillId="0" borderId="3" xfId="0" applyFont="1" applyBorder="1" applyProtection="1"/>
    <xf numFmtId="1" fontId="4" fillId="4" borderId="4" xfId="0" applyNumberFormat="1" applyFont="1" applyFill="1" applyBorder="1" applyProtection="1"/>
    <xf numFmtId="1" fontId="4" fillId="2" borderId="4" xfId="0" applyNumberFormat="1" applyFont="1" applyFill="1" applyBorder="1" applyProtection="1"/>
    <xf numFmtId="2" fontId="4" fillId="4" borderId="4" xfId="0" applyNumberFormat="1" applyFont="1" applyFill="1" applyBorder="1" applyProtection="1"/>
    <xf numFmtId="2" fontId="4" fillId="2" borderId="4" xfId="0" applyNumberFormat="1" applyFont="1" applyFill="1" applyBorder="1" applyProtection="1"/>
    <xf numFmtId="2" fontId="4" fillId="2" borderId="5" xfId="0" applyNumberFormat="1" applyFont="1" applyFill="1" applyBorder="1" applyProtection="1"/>
    <xf numFmtId="0" fontId="4" fillId="0" borderId="6" xfId="0" applyFont="1" applyBorder="1" applyProtection="1"/>
    <xf numFmtId="1" fontId="4" fillId="4" borderId="2" xfId="0" applyNumberFormat="1" applyFont="1" applyFill="1" applyBorder="1" applyProtection="1"/>
    <xf numFmtId="1" fontId="4" fillId="2" borderId="2" xfId="0" applyNumberFormat="1" applyFont="1" applyFill="1" applyBorder="1" applyProtection="1"/>
    <xf numFmtId="2" fontId="4" fillId="4" borderId="2" xfId="0" applyNumberFormat="1" applyFont="1" applyFill="1" applyBorder="1" applyProtection="1"/>
    <xf numFmtId="2" fontId="4" fillId="2" borderId="2" xfId="0" applyNumberFormat="1" applyFont="1" applyFill="1" applyBorder="1" applyProtection="1"/>
    <xf numFmtId="2" fontId="4" fillId="2" borderId="7" xfId="0" applyNumberFormat="1" applyFont="1" applyFill="1" applyBorder="1" applyProtection="1"/>
    <xf numFmtId="0" fontId="4" fillId="0" borderId="8" xfId="0" applyFont="1" applyBorder="1" applyProtection="1"/>
    <xf numFmtId="1" fontId="4" fillId="4" borderId="9" xfId="0" applyNumberFormat="1" applyFont="1" applyFill="1" applyBorder="1" applyProtection="1"/>
    <xf numFmtId="1" fontId="4" fillId="2" borderId="9" xfId="0" applyNumberFormat="1" applyFont="1" applyFill="1" applyBorder="1" applyProtection="1"/>
    <xf numFmtId="2" fontId="4" fillId="4" borderId="9" xfId="0" applyNumberFormat="1" applyFont="1" applyFill="1" applyBorder="1" applyProtection="1"/>
    <xf numFmtId="2" fontId="4" fillId="2" borderId="9" xfId="0" applyNumberFormat="1" applyFont="1" applyFill="1" applyBorder="1" applyProtection="1"/>
    <xf numFmtId="2" fontId="4" fillId="2" borderId="10" xfId="0" applyNumberFormat="1" applyFont="1" applyFill="1" applyBorder="1" applyProtection="1"/>
    <xf numFmtId="0" fontId="0" fillId="5" borderId="1" xfId="0" applyFill="1" applyBorder="1" applyProtection="1"/>
    <xf numFmtId="0" fontId="0" fillId="6" borderId="1" xfId="0" applyFill="1" applyBorder="1" applyProtection="1"/>
    <xf numFmtId="2" fontId="4" fillId="2" borderId="14" xfId="0" applyNumberFormat="1" applyFont="1" applyFill="1" applyBorder="1" applyProtection="1"/>
    <xf numFmtId="2" fontId="4" fillId="2" borderId="15" xfId="0" applyNumberFormat="1" applyFont="1" applyFill="1" applyBorder="1" applyProtection="1"/>
    <xf numFmtId="2" fontId="4" fillId="2" borderId="16" xfId="0" applyNumberFormat="1" applyFont="1" applyFill="1" applyBorder="1" applyProtection="1"/>
    <xf numFmtId="0" fontId="2" fillId="0" borderId="0" xfId="0" applyFont="1" applyAlignment="1">
      <alignment vertical="top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 applyProtection="1"/>
    <xf numFmtId="0" fontId="2" fillId="5" borderId="11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6" borderId="12" xfId="0" applyFont="1" applyFill="1" applyBorder="1" applyAlignment="1" applyProtection="1">
      <alignment horizontal="center"/>
    </xf>
    <xf numFmtId="0" fontId="2" fillId="6" borderId="13" xfId="0" applyFont="1" applyFill="1" applyBorder="1" applyAlignment="1" applyProtection="1">
      <alignment horizontal="center"/>
    </xf>
    <xf numFmtId="0" fontId="0" fillId="0" borderId="1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2395888013998318E-2"/>
          <c:y val="4.4321435868420737E-2"/>
          <c:w val="0.68181233595800528"/>
          <c:h val="0.83798733242177148"/>
        </c:manualLayout>
      </c:layout>
      <c:scatterChart>
        <c:scatterStyle val="smoothMarker"/>
        <c:ser>
          <c:idx val="0"/>
          <c:order val="0"/>
          <c:tx>
            <c:strRef>
              <c:f>Calculations!$M$33</c:f>
              <c:strCache>
                <c:ptCount val="1"/>
                <c:pt idx="0">
                  <c:v>Loft spin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none"/>
          </c:marker>
          <c:xVal>
            <c:numRef>
              <c:f>Calculations!$A$34:$A$41</c:f>
              <c:numCache>
                <c:formatCode>General</c:formatCode>
                <c:ptCount val="8"/>
                <c:pt idx="0">
                  <c:v>-0.6</c:v>
                </c:pt>
                <c:pt idx="1">
                  <c:v>-0.39999999999999997</c:v>
                </c:pt>
                <c:pt idx="2">
                  <c:v>-0.19999999999999996</c:v>
                </c:pt>
                <c:pt idx="3">
                  <c:v>0</c:v>
                </c:pt>
                <c:pt idx="4">
                  <c:v>0.2</c:v>
                </c:pt>
                <c:pt idx="5">
                  <c:v>0.4</c:v>
                </c:pt>
                <c:pt idx="6">
                  <c:v>0.60000000000000009</c:v>
                </c:pt>
                <c:pt idx="7">
                  <c:v>0.8</c:v>
                </c:pt>
              </c:numCache>
            </c:numRef>
          </c:xVal>
          <c:yVal>
            <c:numRef>
              <c:f>Calculations!$M$34:$M$41</c:f>
              <c:numCache>
                <c:formatCode>General</c:formatCode>
                <c:ptCount val="8"/>
                <c:pt idx="0">
                  <c:v>2374.3448857510739</c:v>
                </c:pt>
                <c:pt idx="1">
                  <c:v>2637.9487104835912</c:v>
                </c:pt>
                <c:pt idx="2">
                  <c:v>2900.6725304591373</c:v>
                </c:pt>
                <c:pt idx="3">
                  <c:v>3162.5174460660191</c:v>
                </c:pt>
                <c:pt idx="4">
                  <c:v>3423.4838235907223</c:v>
                </c:pt>
                <c:pt idx="5">
                  <c:v>3683.5712967467612</c:v>
                </c:pt>
                <c:pt idx="6">
                  <c:v>3942.7787651458289</c:v>
                </c:pt>
                <c:pt idx="7">
                  <c:v>4201.1043896963374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Calculations!$N$33</c:f>
              <c:strCache>
                <c:ptCount val="1"/>
                <c:pt idx="0">
                  <c:v>SPIN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Calculations!$A$34:$A$41</c:f>
              <c:numCache>
                <c:formatCode>General</c:formatCode>
                <c:ptCount val="8"/>
                <c:pt idx="0">
                  <c:v>-0.6</c:v>
                </c:pt>
                <c:pt idx="1">
                  <c:v>-0.39999999999999997</c:v>
                </c:pt>
                <c:pt idx="2">
                  <c:v>-0.19999999999999996</c:v>
                </c:pt>
                <c:pt idx="3">
                  <c:v>0</c:v>
                </c:pt>
                <c:pt idx="4">
                  <c:v>0.2</c:v>
                </c:pt>
                <c:pt idx="5">
                  <c:v>0.4</c:v>
                </c:pt>
                <c:pt idx="6">
                  <c:v>0.60000000000000009</c:v>
                </c:pt>
                <c:pt idx="7">
                  <c:v>0.8</c:v>
                </c:pt>
              </c:numCache>
            </c:numRef>
          </c:xVal>
          <c:yVal>
            <c:numRef>
              <c:f>Calculations!$N$34:$N$41</c:f>
              <c:numCache>
                <c:formatCode>General</c:formatCode>
                <c:ptCount val="8"/>
                <c:pt idx="0">
                  <c:v>4971.9700988338045</c:v>
                </c:pt>
                <c:pt idx="1">
                  <c:v>4516.9858320173571</c:v>
                </c:pt>
                <c:pt idx="2">
                  <c:v>4074.601472731541</c:v>
                </c:pt>
                <c:pt idx="3">
                  <c:v>3642.0905864345386</c:v>
                </c:pt>
                <c:pt idx="4">
                  <c:v>3216.9282807016421</c:v>
                </c:pt>
                <c:pt idx="5">
                  <c:v>2796.7918718731421</c:v>
                </c:pt>
                <c:pt idx="6">
                  <c:v>2379.5614695837053</c:v>
                </c:pt>
                <c:pt idx="7">
                  <c:v>1963.3205691429689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Calculations!$M$44</c:f>
              <c:strCache>
                <c:ptCount val="1"/>
                <c:pt idx="0">
                  <c:v>Loft spin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Calculations!$A$34:$A$41</c:f>
              <c:numCache>
                <c:formatCode>General</c:formatCode>
                <c:ptCount val="8"/>
                <c:pt idx="0">
                  <c:v>-0.6</c:v>
                </c:pt>
                <c:pt idx="1">
                  <c:v>-0.39999999999999997</c:v>
                </c:pt>
                <c:pt idx="2">
                  <c:v>-0.19999999999999996</c:v>
                </c:pt>
                <c:pt idx="3">
                  <c:v>0</c:v>
                </c:pt>
                <c:pt idx="4">
                  <c:v>0.2</c:v>
                </c:pt>
                <c:pt idx="5">
                  <c:v>0.4</c:v>
                </c:pt>
                <c:pt idx="6">
                  <c:v>0.60000000000000009</c:v>
                </c:pt>
                <c:pt idx="7">
                  <c:v>0.8</c:v>
                </c:pt>
              </c:numCache>
            </c:numRef>
          </c:xVal>
          <c:yVal>
            <c:numRef>
              <c:f>Calculations!$M$45:$M$52</c:f>
              <c:numCache>
                <c:formatCode>General</c:formatCode>
                <c:ptCount val="8"/>
                <c:pt idx="0">
                  <c:v>2374.3448857510739</c:v>
                </c:pt>
                <c:pt idx="1">
                  <c:v>2637.9487104835912</c:v>
                </c:pt>
                <c:pt idx="2">
                  <c:v>2900.6725304591373</c:v>
                </c:pt>
                <c:pt idx="3">
                  <c:v>3162.5174460660191</c:v>
                </c:pt>
                <c:pt idx="4">
                  <c:v>3423.4838235907223</c:v>
                </c:pt>
                <c:pt idx="5">
                  <c:v>3683.5712967467612</c:v>
                </c:pt>
                <c:pt idx="6">
                  <c:v>3942.7787651458289</c:v>
                </c:pt>
                <c:pt idx="7">
                  <c:v>4201.1043896963374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Calculations!$N$44</c:f>
              <c:strCache>
                <c:ptCount val="1"/>
                <c:pt idx="0">
                  <c:v>SPIN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Calculations!$A$34:$A$41</c:f>
              <c:numCache>
                <c:formatCode>General</c:formatCode>
                <c:ptCount val="8"/>
                <c:pt idx="0">
                  <c:v>-0.6</c:v>
                </c:pt>
                <c:pt idx="1">
                  <c:v>-0.39999999999999997</c:v>
                </c:pt>
                <c:pt idx="2">
                  <c:v>-0.19999999999999996</c:v>
                </c:pt>
                <c:pt idx="3">
                  <c:v>0</c:v>
                </c:pt>
                <c:pt idx="4">
                  <c:v>0.2</c:v>
                </c:pt>
                <c:pt idx="5">
                  <c:v>0.4</c:v>
                </c:pt>
                <c:pt idx="6">
                  <c:v>0.60000000000000009</c:v>
                </c:pt>
                <c:pt idx="7">
                  <c:v>0.8</c:v>
                </c:pt>
              </c:numCache>
            </c:numRef>
          </c:xVal>
          <c:yVal>
            <c:numRef>
              <c:f>Calculations!$N$45:$N$52</c:f>
              <c:numCache>
                <c:formatCode>General</c:formatCode>
                <c:ptCount val="8"/>
                <c:pt idx="0">
                  <c:v>4610.7637518974398</c:v>
                </c:pt>
                <c:pt idx="1">
                  <c:v>4155.3458749678448</c:v>
                </c:pt>
                <c:pt idx="2">
                  <c:v>3710.5989364840243</c:v>
                </c:pt>
                <c:pt idx="3">
                  <c:v>3273.8741813498859</c:v>
                </c:pt>
                <c:pt idx="4">
                  <c:v>2842.7259627525304</c:v>
                </c:pt>
                <c:pt idx="5">
                  <c:v>2414.9122509246045</c:v>
                </c:pt>
                <c:pt idx="6">
                  <c:v>1988.3950867203159</c:v>
                </c:pt>
                <c:pt idx="7">
                  <c:v>1561.341067769752</c:v>
                </c:pt>
              </c:numCache>
            </c:numRef>
          </c:yVal>
          <c:smooth val="1"/>
        </c:ser>
        <c:axId val="65278720"/>
        <c:axId val="65281024"/>
      </c:scatterChart>
      <c:valAx>
        <c:axId val="65278720"/>
        <c:scaling>
          <c:orientation val="minMax"/>
          <c:max val="0.8"/>
          <c:min val="-0.60000000000000064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i="1"/>
                  <a:t>h</a:t>
                </a:r>
              </a:p>
            </c:rich>
          </c:tx>
          <c:layout>
            <c:manualLayout>
              <c:xMode val="edge"/>
              <c:yMode val="edge"/>
              <c:x val="0.79357983377077934"/>
              <c:y val="0.89449101796407271"/>
            </c:manualLayout>
          </c:layout>
        </c:title>
        <c:numFmt formatCode="General" sourceLinked="1"/>
        <c:tickLblPos val="nextTo"/>
        <c:crossAx val="65281024"/>
        <c:crosses val="autoZero"/>
        <c:crossBetween val="midCat"/>
        <c:majorUnit val="0.2"/>
      </c:valAx>
      <c:valAx>
        <c:axId val="65281024"/>
        <c:scaling>
          <c:orientation val="minMax"/>
          <c:max val="4000"/>
          <c:min val="1500"/>
        </c:scaling>
        <c:axPos val="l"/>
        <c:majorGridlines/>
        <c:numFmt formatCode="General" sourceLinked="1"/>
        <c:tickLblPos val="nextTo"/>
        <c:crossAx val="6527872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tx>
            <c:v>Launch angle 1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Calculations!$A$34:$A$41</c:f>
              <c:numCache>
                <c:formatCode>General</c:formatCode>
                <c:ptCount val="8"/>
                <c:pt idx="0">
                  <c:v>-0.6</c:v>
                </c:pt>
                <c:pt idx="1">
                  <c:v>-0.39999999999999997</c:v>
                </c:pt>
                <c:pt idx="2">
                  <c:v>-0.19999999999999996</c:v>
                </c:pt>
                <c:pt idx="3">
                  <c:v>0</c:v>
                </c:pt>
                <c:pt idx="4">
                  <c:v>0.2</c:v>
                </c:pt>
                <c:pt idx="5">
                  <c:v>0.4</c:v>
                </c:pt>
                <c:pt idx="6">
                  <c:v>0.60000000000000009</c:v>
                </c:pt>
                <c:pt idx="7">
                  <c:v>0.8</c:v>
                </c:pt>
              </c:numCache>
            </c:numRef>
          </c:xVal>
          <c:yVal>
            <c:numRef>
              <c:f>Calculations!$S$34:$S$41</c:f>
              <c:numCache>
                <c:formatCode>General</c:formatCode>
                <c:ptCount val="8"/>
                <c:pt idx="0">
                  <c:v>7.259683030509005</c:v>
                </c:pt>
                <c:pt idx="1">
                  <c:v>8.1725774450092867</c:v>
                </c:pt>
                <c:pt idx="2">
                  <c:v>9.068262622454764</c:v>
                </c:pt>
                <c:pt idx="3">
                  <c:v>9.9468873639005722</c:v>
                </c:pt>
                <c:pt idx="4">
                  <c:v>10.808590497952535</c:v>
                </c:pt>
                <c:pt idx="5">
                  <c:v>11.653501108074924</c:v>
                </c:pt>
                <c:pt idx="6">
                  <c:v>12.481738736320752</c:v>
                </c:pt>
                <c:pt idx="7">
                  <c:v>13.293413564686148</c:v>
                </c:pt>
              </c:numCache>
            </c:numRef>
          </c:yVal>
          <c:smooth val="1"/>
        </c:ser>
        <c:ser>
          <c:idx val="1"/>
          <c:order val="1"/>
          <c:tx>
            <c:v>Launch angle 2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Calculations!$A$34:$A$41</c:f>
              <c:numCache>
                <c:formatCode>General</c:formatCode>
                <c:ptCount val="8"/>
                <c:pt idx="0">
                  <c:v>-0.6</c:v>
                </c:pt>
                <c:pt idx="1">
                  <c:v>-0.39999999999999997</c:v>
                </c:pt>
                <c:pt idx="2">
                  <c:v>-0.19999999999999996</c:v>
                </c:pt>
                <c:pt idx="3">
                  <c:v>0</c:v>
                </c:pt>
                <c:pt idx="4">
                  <c:v>0.2</c:v>
                </c:pt>
                <c:pt idx="5">
                  <c:v>0.4</c:v>
                </c:pt>
                <c:pt idx="6">
                  <c:v>0.60000000000000009</c:v>
                </c:pt>
                <c:pt idx="7">
                  <c:v>0.8</c:v>
                </c:pt>
              </c:numCache>
            </c:numRef>
          </c:xVal>
          <c:yVal>
            <c:numRef>
              <c:f>Calculations!$S$45:$S$52</c:f>
              <c:numCache>
                <c:formatCode>General</c:formatCode>
                <c:ptCount val="8"/>
                <c:pt idx="0">
                  <c:v>7.3213015504053001</c:v>
                </c:pt>
                <c:pt idx="1">
                  <c:v>8.2327901643467989</c:v>
                </c:pt>
                <c:pt idx="2">
                  <c:v>9.1270555911793831</c:v>
                </c:pt>
                <c:pt idx="3">
                  <c:v>10.004248606419891</c:v>
                </c:pt>
                <c:pt idx="4">
                  <c:v>10.864509934279152</c:v>
                </c:pt>
                <c:pt idx="5">
                  <c:v>11.707970478107649</c:v>
                </c:pt>
                <c:pt idx="6">
                  <c:v>12.534751527149437</c:v>
                </c:pt>
                <c:pt idx="7">
                  <c:v>13.344964940812899</c:v>
                </c:pt>
              </c:numCache>
            </c:numRef>
          </c:yVal>
          <c:smooth val="1"/>
        </c:ser>
        <c:axId val="65260544"/>
        <c:axId val="65328256"/>
      </c:scatterChart>
      <c:valAx>
        <c:axId val="65260544"/>
        <c:scaling>
          <c:orientation val="minMax"/>
          <c:max val="0.8"/>
          <c:min val="-0.6000000000000003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</a:t>
                </a:r>
              </a:p>
            </c:rich>
          </c:tx>
          <c:layout>
            <c:manualLayout>
              <c:xMode val="edge"/>
              <c:yMode val="edge"/>
              <c:x val="0.90397222222222218"/>
              <c:y val="0.89468936895708551"/>
            </c:manualLayout>
          </c:layout>
        </c:title>
        <c:numFmt formatCode="General" sourceLinked="1"/>
        <c:tickLblPos val="nextTo"/>
        <c:crossAx val="65328256"/>
        <c:crosses val="autoZero"/>
        <c:crossBetween val="midCat"/>
        <c:majorUnit val="0.2"/>
      </c:valAx>
      <c:valAx>
        <c:axId val="65328256"/>
        <c:scaling>
          <c:orientation val="minMax"/>
        </c:scaling>
        <c:axPos val="l"/>
        <c:majorGridlines/>
        <c:numFmt formatCode="General" sourceLinked="1"/>
        <c:tickLblPos val="nextTo"/>
        <c:crossAx val="6526054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21800000000000005"/>
          <c:y val="0.91092213473315831"/>
          <c:w val="0.56399999999999995"/>
          <c:h val="4.1786050573834263E-2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171450</xdr:rowOff>
    </xdr:from>
    <xdr:to>
      <xdr:col>9</xdr:col>
      <xdr:colOff>333375</xdr:colOff>
      <xdr:row>16</xdr:row>
      <xdr:rowOff>333375</xdr:rowOff>
    </xdr:to>
    <xdr:pic>
      <xdr:nvPicPr>
        <xdr:cNvPr id="2" name="Picture 1" descr="clubheadVGE_1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38675" y="600075"/>
          <a:ext cx="4324350" cy="418147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20</xdr:row>
      <xdr:rowOff>171450</xdr:rowOff>
    </xdr:from>
    <xdr:to>
      <xdr:col>10</xdr:col>
      <xdr:colOff>561975</xdr:colOff>
      <xdr:row>34</xdr:row>
      <xdr:rowOff>476250</xdr:rowOff>
    </xdr:to>
    <xdr:pic>
      <xdr:nvPicPr>
        <xdr:cNvPr id="3" name="Picture 2" descr="clubheadVGE_2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24400" y="5762625"/>
          <a:ext cx="5076825" cy="3181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123825</xdr:rowOff>
    </xdr:from>
    <xdr:to>
      <xdr:col>12</xdr:col>
      <xdr:colOff>600075</xdr:colOff>
      <xdr:row>17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485775</xdr:colOff>
      <xdr:row>0</xdr:row>
      <xdr:rowOff>104775</xdr:rowOff>
    </xdr:from>
    <xdr:to>
      <xdr:col>21</xdr:col>
      <xdr:colOff>180975</xdr:colOff>
      <xdr:row>28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4"/>
  <sheetViews>
    <sheetView tabSelected="1" topLeftCell="A20" workbookViewId="0">
      <selection activeCell="E46" sqref="E46"/>
    </sheetView>
  </sheetViews>
  <sheetFormatPr defaultRowHeight="15"/>
  <cols>
    <col min="1" max="1" width="10" customWidth="1"/>
    <col min="2" max="2" width="56.28515625" customWidth="1"/>
  </cols>
  <sheetData>
    <row r="1" spans="1:2" ht="18.75">
      <c r="A1" s="44" t="s">
        <v>0</v>
      </c>
      <c r="B1" s="45"/>
    </row>
    <row r="3" spans="1:2" ht="15.75">
      <c r="A3" s="43" t="s">
        <v>1</v>
      </c>
      <c r="B3" s="43"/>
    </row>
    <row r="4" spans="1:2" ht="30">
      <c r="A4" s="2" t="s">
        <v>4</v>
      </c>
      <c r="B4" s="1" t="s">
        <v>3</v>
      </c>
    </row>
    <row r="5" spans="1:2">
      <c r="A5" s="2" t="s">
        <v>5</v>
      </c>
      <c r="B5" s="1" t="s">
        <v>6</v>
      </c>
    </row>
    <row r="6" spans="1:2">
      <c r="A6" s="2" t="s">
        <v>7</v>
      </c>
      <c r="B6" s="1" t="s">
        <v>8</v>
      </c>
    </row>
    <row r="7" spans="1:2" ht="30">
      <c r="A7" s="2" t="s">
        <v>9</v>
      </c>
      <c r="B7" s="1" t="s">
        <v>10</v>
      </c>
    </row>
    <row r="8" spans="1:2" ht="30">
      <c r="A8" s="2"/>
      <c r="B8" s="1" t="s">
        <v>2</v>
      </c>
    </row>
    <row r="9" spans="1:2" ht="30">
      <c r="A9" s="2" t="s">
        <v>11</v>
      </c>
      <c r="B9" s="1" t="s">
        <v>12</v>
      </c>
    </row>
    <row r="10" spans="1:2">
      <c r="A10" s="2" t="s">
        <v>13</v>
      </c>
      <c r="B10" s="1" t="s">
        <v>14</v>
      </c>
    </row>
    <row r="11" spans="1:2" ht="30">
      <c r="A11" s="2" t="s">
        <v>15</v>
      </c>
      <c r="B11" s="1" t="s">
        <v>16</v>
      </c>
    </row>
    <row r="12" spans="1:2">
      <c r="A12" s="2"/>
      <c r="B12" s="1"/>
    </row>
    <row r="13" spans="1:2" ht="15.75">
      <c r="A13" s="42" t="s">
        <v>17</v>
      </c>
      <c r="B13" s="43"/>
    </row>
    <row r="14" spans="1:2">
      <c r="A14" s="2" t="s">
        <v>55</v>
      </c>
      <c r="B14" s="1" t="s">
        <v>56</v>
      </c>
    </row>
    <row r="15" spans="1:2">
      <c r="A15" s="2" t="s">
        <v>18</v>
      </c>
      <c r="B15" s="1" t="s">
        <v>19</v>
      </c>
    </row>
    <row r="16" spans="1:2" ht="45">
      <c r="A16" s="2"/>
      <c r="B16" s="1" t="s">
        <v>34</v>
      </c>
    </row>
    <row r="17" spans="1:2" ht="45">
      <c r="A17" s="2" t="s">
        <v>20</v>
      </c>
      <c r="B17" s="1" t="s">
        <v>88</v>
      </c>
    </row>
    <row r="18" spans="1:2" ht="30">
      <c r="A18" s="2" t="s">
        <v>53</v>
      </c>
      <c r="B18" s="1" t="s">
        <v>54</v>
      </c>
    </row>
    <row r="19" spans="1:2" ht="30">
      <c r="A19" s="2" t="s">
        <v>85</v>
      </c>
      <c r="B19" s="1" t="s">
        <v>86</v>
      </c>
    </row>
    <row r="20" spans="1:2">
      <c r="A20" s="2"/>
      <c r="B20" s="1"/>
    </row>
    <row r="21" spans="1:2" ht="15.75">
      <c r="A21" s="46" t="s">
        <v>21</v>
      </c>
      <c r="B21" s="43"/>
    </row>
    <row r="22" spans="1:2">
      <c r="A22" s="2" t="s">
        <v>22</v>
      </c>
      <c r="B22" s="1" t="s">
        <v>27</v>
      </c>
    </row>
    <row r="23" spans="1:2">
      <c r="A23" s="2" t="s">
        <v>23</v>
      </c>
      <c r="B23" s="1" t="s">
        <v>28</v>
      </c>
    </row>
    <row r="24" spans="1:2">
      <c r="A24" s="2" t="s">
        <v>24</v>
      </c>
      <c r="B24" s="1" t="s">
        <v>29</v>
      </c>
    </row>
    <row r="25" spans="1:2">
      <c r="A25" s="2" t="s">
        <v>25</v>
      </c>
      <c r="B25" s="1" t="s">
        <v>26</v>
      </c>
    </row>
    <row r="26" spans="1:2">
      <c r="A26" s="2" t="s">
        <v>30</v>
      </c>
      <c r="B26" s="1" t="s">
        <v>31</v>
      </c>
    </row>
    <row r="27" spans="1:2" ht="30">
      <c r="A27" s="2" t="s">
        <v>32</v>
      </c>
      <c r="B27" s="1" t="s">
        <v>33</v>
      </c>
    </row>
    <row r="28" spans="1:2">
      <c r="A28" s="2"/>
      <c r="B28" s="1"/>
    </row>
    <row r="29" spans="1:2" ht="15.75">
      <c r="A29" s="46" t="s">
        <v>35</v>
      </c>
      <c r="B29" s="43"/>
    </row>
    <row r="30" spans="1:2">
      <c r="A30" s="2" t="s">
        <v>36</v>
      </c>
      <c r="B30" s="1" t="s">
        <v>87</v>
      </c>
    </row>
    <row r="31" spans="1:2">
      <c r="A31" s="2" t="s">
        <v>37</v>
      </c>
      <c r="B31" s="1" t="s">
        <v>90</v>
      </c>
    </row>
    <row r="32" spans="1:2">
      <c r="A32" s="2" t="s">
        <v>63</v>
      </c>
      <c r="B32" s="1" t="s">
        <v>91</v>
      </c>
    </row>
    <row r="33" spans="1:2">
      <c r="A33" s="2" t="s">
        <v>38</v>
      </c>
      <c r="B33" s="1" t="s">
        <v>39</v>
      </c>
    </row>
    <row r="34" spans="1:2">
      <c r="A34" s="2" t="s">
        <v>40</v>
      </c>
      <c r="B34" s="1" t="s">
        <v>41</v>
      </c>
    </row>
    <row r="35" spans="1:2" ht="45">
      <c r="A35" s="2"/>
      <c r="B35" s="3" t="s">
        <v>47</v>
      </c>
    </row>
    <row r="36" spans="1:2">
      <c r="A36" s="2" t="s">
        <v>42</v>
      </c>
      <c r="B36" s="1" t="s">
        <v>74</v>
      </c>
    </row>
    <row r="37" spans="1:2">
      <c r="A37" s="2" t="s">
        <v>43</v>
      </c>
      <c r="B37" s="1" t="s">
        <v>69</v>
      </c>
    </row>
    <row r="38" spans="1:2">
      <c r="A38" s="2" t="s">
        <v>44</v>
      </c>
      <c r="B38" s="1" t="s">
        <v>45</v>
      </c>
    </row>
    <row r="39" spans="1:2">
      <c r="A39" s="2" t="s">
        <v>46</v>
      </c>
      <c r="B39" s="1" t="s">
        <v>106</v>
      </c>
    </row>
    <row r="40" spans="1:2">
      <c r="A40" s="2"/>
      <c r="B40" s="3" t="s">
        <v>48</v>
      </c>
    </row>
    <row r="41" spans="1:2">
      <c r="A41" s="2" t="s">
        <v>57</v>
      </c>
      <c r="B41" s="4" t="s">
        <v>58</v>
      </c>
    </row>
    <row r="42" spans="1:2">
      <c r="A42" s="2" t="s">
        <v>49</v>
      </c>
      <c r="B42" s="1" t="s">
        <v>59</v>
      </c>
    </row>
    <row r="43" spans="1:2">
      <c r="A43" s="2" t="s">
        <v>50</v>
      </c>
      <c r="B43" s="1" t="s">
        <v>60</v>
      </c>
    </row>
    <row r="44" spans="1:2">
      <c r="A44" s="2" t="s">
        <v>51</v>
      </c>
      <c r="B44" s="1" t="s">
        <v>52</v>
      </c>
    </row>
    <row r="45" spans="1:2">
      <c r="A45" s="2"/>
      <c r="B45" s="1"/>
    </row>
    <row r="46" spans="1:2" ht="15.75">
      <c r="A46" s="42" t="s">
        <v>84</v>
      </c>
      <c r="B46" s="43"/>
    </row>
    <row r="47" spans="1:2">
      <c r="A47" s="2" t="s">
        <v>89</v>
      </c>
      <c r="B47" s="1" t="s">
        <v>92</v>
      </c>
    </row>
    <row r="48" spans="1:2">
      <c r="A48" s="2" t="s">
        <v>101</v>
      </c>
      <c r="B48" s="1" t="s">
        <v>102</v>
      </c>
    </row>
    <row r="49" spans="1:2">
      <c r="A49" s="2" t="s">
        <v>93</v>
      </c>
      <c r="B49" s="1" t="s">
        <v>103</v>
      </c>
    </row>
    <row r="50" spans="1:2">
      <c r="A50" s="2" t="s">
        <v>94</v>
      </c>
      <c r="B50" s="1" t="s">
        <v>95</v>
      </c>
    </row>
    <row r="51" spans="1:2">
      <c r="A51" s="2"/>
      <c r="B51" s="1"/>
    </row>
    <row r="52" spans="1:2">
      <c r="A52" s="2"/>
      <c r="B52" s="1"/>
    </row>
    <row r="53" spans="1:2">
      <c r="A53" s="2"/>
      <c r="B53" s="1"/>
    </row>
    <row r="54" spans="1:2">
      <c r="A54" s="2"/>
      <c r="B54" s="1"/>
    </row>
  </sheetData>
  <sheetProtection sheet="1" objects="1" scenarios="1"/>
  <mergeCells count="6">
    <mergeCell ref="A46:B46"/>
    <mergeCell ref="A1:B1"/>
    <mergeCell ref="A3:B3"/>
    <mergeCell ref="A13:B13"/>
    <mergeCell ref="A21:B21"/>
    <mergeCell ref="A29:B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2"/>
  <sheetViews>
    <sheetView workbookViewId="0">
      <selection activeCell="C2" sqref="C2"/>
    </sheetView>
  </sheetViews>
  <sheetFormatPr defaultRowHeight="15"/>
  <cols>
    <col min="1" max="16384" width="9.140625" style="6"/>
  </cols>
  <sheetData>
    <row r="1" spans="1:23" ht="15.75">
      <c r="A1" s="47" t="s">
        <v>64</v>
      </c>
      <c r="B1" s="47"/>
      <c r="C1" s="47"/>
      <c r="D1" s="47"/>
      <c r="E1" s="47"/>
      <c r="F1" s="47"/>
    </row>
    <row r="2" spans="1:23">
      <c r="B2" s="7" t="s">
        <v>62</v>
      </c>
      <c r="C2" s="8" t="s">
        <v>61</v>
      </c>
      <c r="U2" s="9"/>
      <c r="V2" s="9"/>
      <c r="W2" s="9"/>
    </row>
    <row r="3" spans="1:23">
      <c r="A3" s="10" t="s">
        <v>7</v>
      </c>
      <c r="B3" s="5">
        <v>1.3</v>
      </c>
      <c r="C3" s="5">
        <v>1.3</v>
      </c>
    </row>
    <row r="4" spans="1:23">
      <c r="A4" s="10" t="s">
        <v>9</v>
      </c>
      <c r="B4" s="5">
        <v>-0.1</v>
      </c>
      <c r="C4" s="5">
        <v>-0.2</v>
      </c>
    </row>
    <row r="5" spans="1:23">
      <c r="A5" s="10" t="s">
        <v>18</v>
      </c>
      <c r="B5" s="5">
        <v>2950</v>
      </c>
      <c r="C5" s="5">
        <v>2950</v>
      </c>
    </row>
    <row r="6" spans="1:23">
      <c r="A6" s="11"/>
      <c r="B6" s="12"/>
      <c r="C6" s="13"/>
      <c r="D6" s="14"/>
    </row>
    <row r="7" spans="1:23">
      <c r="A7" s="10" t="s">
        <v>5</v>
      </c>
      <c r="B7" s="5">
        <v>10.5</v>
      </c>
    </row>
    <row r="8" spans="1:23">
      <c r="A8" s="10" t="s">
        <v>13</v>
      </c>
      <c r="B8" s="5">
        <v>12</v>
      </c>
    </row>
    <row r="9" spans="1:23">
      <c r="A9" s="10" t="s">
        <v>20</v>
      </c>
      <c r="B9" s="5">
        <v>1.5</v>
      </c>
    </row>
    <row r="10" spans="1:23">
      <c r="A10" s="10" t="s">
        <v>55</v>
      </c>
      <c r="B10" s="5">
        <v>100</v>
      </c>
    </row>
    <row r="11" spans="1:23">
      <c r="A11" s="10" t="s">
        <v>53</v>
      </c>
      <c r="B11" s="5">
        <v>1.48</v>
      </c>
    </row>
    <row r="12" spans="1:23">
      <c r="A12" s="10" t="s">
        <v>85</v>
      </c>
      <c r="B12" s="5">
        <v>0.7</v>
      </c>
    </row>
    <row r="13" spans="1:23">
      <c r="A13" s="10" t="s">
        <v>101</v>
      </c>
      <c r="B13" s="5">
        <v>0.25</v>
      </c>
    </row>
    <row r="20" spans="1:19" ht="15.75">
      <c r="A20" s="15" t="s">
        <v>77</v>
      </c>
    </row>
    <row r="21" spans="1:19" ht="32.25" thickBot="1">
      <c r="A21" s="16" t="s">
        <v>11</v>
      </c>
      <c r="B21" s="17" t="s">
        <v>78</v>
      </c>
      <c r="C21" s="18" t="s">
        <v>79</v>
      </c>
      <c r="D21" s="17" t="s">
        <v>80</v>
      </c>
      <c r="E21" s="18" t="s">
        <v>81</v>
      </c>
      <c r="F21" s="17" t="s">
        <v>82</v>
      </c>
      <c r="G21" s="18" t="s">
        <v>83</v>
      </c>
      <c r="H21" s="17" t="s">
        <v>104</v>
      </c>
      <c r="I21" s="18" t="s">
        <v>105</v>
      </c>
    </row>
    <row r="22" spans="1:19" ht="15.75" thickTop="1">
      <c r="A22" s="19">
        <f t="shared" ref="A22:A29" si="0">A34</f>
        <v>-0.6</v>
      </c>
      <c r="B22" s="20">
        <f t="shared" ref="B22:B29" si="1">L34</f>
        <v>-2597.6252130827302</v>
      </c>
      <c r="C22" s="21">
        <f t="shared" ref="C22:C29" si="2">L45</f>
        <v>-2236.4188661463659</v>
      </c>
      <c r="D22" s="22">
        <f t="shared" ref="D22:D29" si="3">I34</f>
        <v>1.3258177911358615</v>
      </c>
      <c r="E22" s="23">
        <f t="shared" ref="E22:E29" si="4">I45</f>
        <v>1.339174148350931</v>
      </c>
      <c r="F22" s="22">
        <f t="shared" ref="F22:F29" si="5">J34</f>
        <v>-0.67125797024514455</v>
      </c>
      <c r="G22" s="39">
        <f t="shared" ref="G22:G29" si="6">J45</f>
        <v>-0.57215394549365695</v>
      </c>
      <c r="H22" s="22">
        <f>S34</f>
        <v>7.259683030509005</v>
      </c>
      <c r="I22" s="24">
        <f>S45</f>
        <v>7.3213015504053001</v>
      </c>
    </row>
    <row r="23" spans="1:19">
      <c r="A23" s="25">
        <f t="shared" si="0"/>
        <v>-0.39999999999999997</v>
      </c>
      <c r="B23" s="26">
        <f t="shared" si="1"/>
        <v>-1879.0371215337664</v>
      </c>
      <c r="C23" s="27">
        <f t="shared" si="2"/>
        <v>-1517.3971644842538</v>
      </c>
      <c r="D23" s="28">
        <f t="shared" si="3"/>
        <v>1.3143957673818711</v>
      </c>
      <c r="E23" s="29">
        <f t="shared" si="4"/>
        <v>1.3291262982169632</v>
      </c>
      <c r="F23" s="28">
        <f t="shared" si="5"/>
        <v>-0.49108313485831023</v>
      </c>
      <c r="G23" s="40">
        <f t="shared" si="6"/>
        <v>-0.39217402778865562</v>
      </c>
      <c r="H23" s="28">
        <f t="shared" ref="H23:H29" si="7">S35</f>
        <v>8.1725774450092867</v>
      </c>
      <c r="I23" s="30">
        <f t="shared" ref="I23:I29" si="8">S46</f>
        <v>8.2327901643467989</v>
      </c>
    </row>
    <row r="24" spans="1:19">
      <c r="A24" s="25">
        <f t="shared" si="0"/>
        <v>-0.19999999999999996</v>
      </c>
      <c r="B24" s="26">
        <f t="shared" si="1"/>
        <v>-1173.9289422724037</v>
      </c>
      <c r="C24" s="27">
        <f t="shared" si="2"/>
        <v>-809.926406024887</v>
      </c>
      <c r="D24" s="28">
        <f t="shared" si="3"/>
        <v>1.3050134951090933</v>
      </c>
      <c r="E24" s="29">
        <f t="shared" si="4"/>
        <v>1.3210922739597566</v>
      </c>
      <c r="F24" s="28">
        <f t="shared" si="5"/>
        <v>-0.30991679605922723</v>
      </c>
      <c r="G24" s="40">
        <f t="shared" si="6"/>
        <v>-0.21121789601129623</v>
      </c>
      <c r="H24" s="28">
        <f t="shared" si="7"/>
        <v>9.068262622454764</v>
      </c>
      <c r="I24" s="30">
        <f t="shared" si="8"/>
        <v>9.1270555911793831</v>
      </c>
    </row>
    <row r="25" spans="1:19">
      <c r="A25" s="25">
        <f t="shared" si="0"/>
        <v>0</v>
      </c>
      <c r="B25" s="26">
        <f t="shared" si="1"/>
        <v>-479.57314036851955</v>
      </c>
      <c r="C25" s="27">
        <f t="shared" si="2"/>
        <v>-111.35673528386664</v>
      </c>
      <c r="D25" s="28">
        <f t="shared" si="3"/>
        <v>1.2975675324423352</v>
      </c>
      <c r="E25" s="29">
        <f t="shared" si="4"/>
        <v>1.3149689322425344</v>
      </c>
      <c r="F25" s="28">
        <f t="shared" si="5"/>
        <v>-0.12774387950703917</v>
      </c>
      <c r="G25" s="40">
        <f t="shared" si="6"/>
        <v>-2.9269561611490212E-2</v>
      </c>
      <c r="H25" s="28">
        <f t="shared" si="7"/>
        <v>9.9468873639005722</v>
      </c>
      <c r="I25" s="30">
        <f t="shared" si="8"/>
        <v>10.004248606419891</v>
      </c>
    </row>
    <row r="26" spans="1:19">
      <c r="A26" s="25">
        <f t="shared" si="0"/>
        <v>0.2</v>
      </c>
      <c r="B26" s="26">
        <f t="shared" si="1"/>
        <v>206.55554288908027</v>
      </c>
      <c r="C26" s="27">
        <f t="shared" si="2"/>
        <v>580.75786083819185</v>
      </c>
      <c r="D26" s="28">
        <f t="shared" si="3"/>
        <v>1.2919578919654113</v>
      </c>
      <c r="E26" s="29">
        <f t="shared" si="4"/>
        <v>1.3106565779043911</v>
      </c>
      <c r="F26" s="28">
        <f t="shared" si="5"/>
        <v>5.545314581438153E-2</v>
      </c>
      <c r="G26" s="40">
        <f t="shared" si="6"/>
        <v>0.15368938731493673</v>
      </c>
      <c r="H26" s="28">
        <f t="shared" si="7"/>
        <v>10.808590497952535</v>
      </c>
      <c r="I26" s="30">
        <f t="shared" si="8"/>
        <v>10.864509934279152</v>
      </c>
    </row>
    <row r="27" spans="1:19">
      <c r="A27" s="25">
        <f t="shared" si="0"/>
        <v>0.4</v>
      </c>
      <c r="B27" s="26">
        <f t="shared" si="1"/>
        <v>886.77942487361906</v>
      </c>
      <c r="C27" s="27">
        <f t="shared" si="2"/>
        <v>1268.6590458221567</v>
      </c>
      <c r="D27" s="28">
        <f t="shared" si="3"/>
        <v>1.2880877726788704</v>
      </c>
      <c r="E27" s="29">
        <f t="shared" si="4"/>
        <v>1.30805869555918</v>
      </c>
      <c r="F27" s="28">
        <f t="shared" si="5"/>
        <v>0.2396940413188578</v>
      </c>
      <c r="G27" s="40">
        <f t="shared" si="6"/>
        <v>0.33767956187831966</v>
      </c>
      <c r="H27" s="28">
        <f t="shared" si="7"/>
        <v>11.653501108074924</v>
      </c>
      <c r="I27" s="30">
        <f t="shared" si="8"/>
        <v>11.707970478107649</v>
      </c>
    </row>
    <row r="28" spans="1:19">
      <c r="A28" s="25">
        <f t="shared" si="0"/>
        <v>0.60000000000000009</v>
      </c>
      <c r="B28" s="26">
        <f t="shared" si="1"/>
        <v>1563.2172955621236</v>
      </c>
      <c r="C28" s="27">
        <f t="shared" si="2"/>
        <v>1954.3836784255129</v>
      </c>
      <c r="D28" s="28">
        <f t="shared" si="3"/>
        <v>1.2858632969545607</v>
      </c>
      <c r="E28" s="29">
        <f t="shared" si="4"/>
        <v>1.3070816861992349</v>
      </c>
      <c r="F28" s="28">
        <f t="shared" si="5"/>
        <v>0.42500059251151795</v>
      </c>
      <c r="G28" s="40">
        <f t="shared" si="6"/>
        <v>0.52272356809997145</v>
      </c>
      <c r="H28" s="28">
        <f t="shared" si="7"/>
        <v>12.481738736320752</v>
      </c>
      <c r="I28" s="30">
        <f t="shared" si="8"/>
        <v>12.534751527149437</v>
      </c>
    </row>
    <row r="29" spans="1:19" ht="15.75" thickBot="1">
      <c r="A29" s="31">
        <f t="shared" si="0"/>
        <v>0.8</v>
      </c>
      <c r="B29" s="32">
        <f t="shared" si="1"/>
        <v>2237.7838205533685</v>
      </c>
      <c r="C29" s="33">
        <f t="shared" si="2"/>
        <v>2639.7633219265854</v>
      </c>
      <c r="D29" s="34">
        <f t="shared" si="3"/>
        <v>1.2851932516248619</v>
      </c>
      <c r="E29" s="35">
        <f t="shared" si="4"/>
        <v>1.3076346079373646</v>
      </c>
      <c r="F29" s="34">
        <f t="shared" si="5"/>
        <v>0.61139642096005231</v>
      </c>
      <c r="G29" s="41">
        <f t="shared" si="6"/>
        <v>0.70884582078814407</v>
      </c>
      <c r="H29" s="34">
        <f t="shared" si="7"/>
        <v>13.293413564686148</v>
      </c>
      <c r="I29" s="36">
        <f t="shared" si="8"/>
        <v>13.344964940812899</v>
      </c>
    </row>
    <row r="30" spans="1:19" ht="15.75" thickTop="1"/>
    <row r="32" spans="1:19" ht="15.75">
      <c r="B32" s="48" t="s">
        <v>75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5"/>
      <c r="P32" s="45"/>
      <c r="Q32" s="45"/>
      <c r="R32" s="45"/>
      <c r="S32" s="45"/>
    </row>
    <row r="33" spans="1:19">
      <c r="A33" s="6" t="s">
        <v>11</v>
      </c>
      <c r="B33" s="37" t="s">
        <v>15</v>
      </c>
      <c r="C33" s="37" t="s">
        <v>65</v>
      </c>
      <c r="D33" s="37" t="s">
        <v>66</v>
      </c>
      <c r="E33" s="37" t="s">
        <v>24</v>
      </c>
      <c r="F33" s="37" t="s">
        <v>25</v>
      </c>
      <c r="G33" s="37" t="s">
        <v>67</v>
      </c>
      <c r="H33" s="37" t="s">
        <v>68</v>
      </c>
      <c r="I33" s="37" t="s">
        <v>22</v>
      </c>
      <c r="J33" s="37" t="s">
        <v>23</v>
      </c>
      <c r="K33" s="37" t="s">
        <v>70</v>
      </c>
      <c r="L33" s="37" t="s">
        <v>71</v>
      </c>
      <c r="M33" s="37" t="s">
        <v>72</v>
      </c>
      <c r="N33" s="37" t="s">
        <v>73</v>
      </c>
      <c r="O33" s="37" t="s">
        <v>96</v>
      </c>
      <c r="P33" s="37" t="s">
        <v>97</v>
      </c>
      <c r="Q33" s="37" t="s">
        <v>98</v>
      </c>
      <c r="R33" s="37" t="s">
        <v>99</v>
      </c>
      <c r="S33" s="37" t="s">
        <v>100</v>
      </c>
    </row>
    <row r="34" spans="1:19">
      <c r="A34" s="6">
        <v>-0.6</v>
      </c>
      <c r="B34" s="37">
        <f t="shared" ref="B34:B41" si="9">Lo + Csb*(_X1-_F) + ASIN(A34/_R)*180/PI()</f>
        <v>8.5340160174011395</v>
      </c>
      <c r="C34" s="37">
        <f t="shared" ref="C34:C41" si="10">A34 * COS((Lo + Csb*(_X1-_F)) * PI()/180)</f>
        <v>-0.58816270477303312</v>
      </c>
      <c r="D34" s="37">
        <f t="shared" ref="D34:D41" si="11">A34*SIN((Lo + Csb*(_X1-_F))*PI()/180) + A34^2/(2*_R)</f>
        <v>-0.10359440422747571</v>
      </c>
      <c r="E34" s="37">
        <f>B34*(0.96-0.0071*B34)</f>
        <v>7.6755664280697529</v>
      </c>
      <c r="F34" s="37">
        <f>TAN(E34*PI()/180)</f>
        <v>0.134771087738986</v>
      </c>
      <c r="G34" s="37">
        <f t="shared" ref="G34:G41" si="12">(F34/(1+F34^2)) * (C34 + D34*F34 - _Z1 + _X1/F34)</f>
        <v>1.2103443876594346</v>
      </c>
      <c r="H34" s="37">
        <f>(D34-G34)*F34 + C34</f>
        <v>-0.76524366497808116</v>
      </c>
      <c r="I34" s="37">
        <f>SQRT((G34-D34)^2+(H34-C34)^2)</f>
        <v>1.3258177911358615</v>
      </c>
      <c r="J34" s="37">
        <f>(H34-_Z1)/COS(E34*PI()/180)</f>
        <v>-0.67125797024514455</v>
      </c>
      <c r="K34" s="37">
        <f t="shared" ref="K34:K41" si="13">Vc*SF*COS(B34*PI()/180)</f>
        <v>146.36133450975919</v>
      </c>
      <c r="L34" s="37">
        <f t="shared" ref="L34:L41" si="14">58830*K34*I34*J34/_Iv1</f>
        <v>-2597.6252130827302</v>
      </c>
      <c r="M34" s="37">
        <f t="shared" ref="M34:M41" si="15">160*Vc*SIN(B34*PI()/180)</f>
        <v>2374.3448857510739</v>
      </c>
      <c r="N34" s="37">
        <f>M34-L34</f>
        <v>4971.9700988338045</v>
      </c>
      <c r="O34" s="37">
        <f>B34-P34</f>
        <v>7.6340160174011391</v>
      </c>
      <c r="P34" s="37">
        <f t="shared" ref="P34:P41" si="16">Csb*(_X1-_F)</f>
        <v>0.90000000000000013</v>
      </c>
      <c r="Q34" s="37">
        <f t="shared" ref="Q34:Q41" si="17">0.0002*Fage*5.04*L34/I34</f>
        <v>-0.49373417529420416</v>
      </c>
      <c r="R34" s="37">
        <f>O34+P34+Q34</f>
        <v>8.0402818421069355</v>
      </c>
      <c r="S34" s="37">
        <f>R34*(0.96-0.0071*R34)</f>
        <v>7.259683030509005</v>
      </c>
    </row>
    <row r="35" spans="1:19">
      <c r="A35" s="6">
        <f>A34+0.2</f>
        <v>-0.39999999999999997</v>
      </c>
      <c r="B35" s="37">
        <f t="shared" si="9"/>
        <v>9.4897868282900699</v>
      </c>
      <c r="C35" s="37">
        <f t="shared" si="10"/>
        <v>-0.39210846984868869</v>
      </c>
      <c r="D35" s="37">
        <f t="shared" si="11"/>
        <v>-7.2396269484983802E-2</v>
      </c>
      <c r="E35" s="37">
        <f t="shared" ref="E35:E41" si="18">B35*(0.96-0.0071*B35)</f>
        <v>8.4707973714291143</v>
      </c>
      <c r="F35" s="37">
        <f t="shared" ref="F35:F41" si="19">TAN(E35*PI()/180)</f>
        <v>0.14892997491847307</v>
      </c>
      <c r="G35" s="37">
        <f t="shared" si="12"/>
        <v>1.2276608473937594</v>
      </c>
      <c r="H35" s="37">
        <f t="shared" ref="H35:H41" si="20">(D35-G35)*F35 + C35</f>
        <v>-0.58572594365802233</v>
      </c>
      <c r="I35" s="37">
        <f t="shared" ref="I35:I41" si="21">SQRT((G35-D35)^2+(H35-C35)^2)</f>
        <v>1.3143957673818711</v>
      </c>
      <c r="J35" s="37">
        <f>(H35-_Z1)/COS(E35*PI()/180)</f>
        <v>-0.49108313485831023</v>
      </c>
      <c r="K35" s="37">
        <f t="shared" si="13"/>
        <v>145.97462091417094</v>
      </c>
      <c r="L35" s="37">
        <f t="shared" si="14"/>
        <v>-1879.0371215337664</v>
      </c>
      <c r="M35" s="37">
        <f t="shared" si="15"/>
        <v>2637.9487104835912</v>
      </c>
      <c r="N35" s="37">
        <f t="shared" ref="N35:N41" si="22">M35-L35</f>
        <v>4516.9858320173571</v>
      </c>
      <c r="O35" s="37">
        <f t="shared" ref="O35:O41" si="23">B35-P35</f>
        <v>8.5897868282900696</v>
      </c>
      <c r="P35" s="37">
        <f t="shared" si="16"/>
        <v>0.90000000000000013</v>
      </c>
      <c r="Q35" s="37">
        <f t="shared" si="17"/>
        <v>-0.36025477742499318</v>
      </c>
      <c r="R35" s="37">
        <f t="shared" ref="R35:R41" si="24">O35+P35+Q35</f>
        <v>9.1295320508650768</v>
      </c>
      <c r="S35" s="37">
        <f t="shared" ref="S35:S41" si="25">R35*(0.96-0.0071*R35)</f>
        <v>8.1725774450092867</v>
      </c>
    </row>
    <row r="36" spans="1:19">
      <c r="A36" s="6">
        <f t="shared" ref="A36:A41" si="26">A35+0.2</f>
        <v>-0.19999999999999996</v>
      </c>
      <c r="B36" s="37">
        <f t="shared" si="9"/>
        <v>10.445026126215087</v>
      </c>
      <c r="C36" s="37">
        <f t="shared" si="10"/>
        <v>-0.19605423492434432</v>
      </c>
      <c r="D36" s="37">
        <f t="shared" si="11"/>
        <v>-3.7864801409158565E-2</v>
      </c>
      <c r="E36" s="37">
        <f t="shared" si="18"/>
        <v>9.2526252286475419</v>
      </c>
      <c r="F36" s="37">
        <f t="shared" si="19"/>
        <v>0.16290737630160979</v>
      </c>
      <c r="G36" s="37">
        <f t="shared" si="12"/>
        <v>1.2501691637405759</v>
      </c>
      <c r="H36" s="37">
        <f t="shared" si="20"/>
        <v>-0.40588446877424667</v>
      </c>
      <c r="I36" s="37">
        <f t="shared" si="21"/>
        <v>1.3050134951090933</v>
      </c>
      <c r="J36" s="37">
        <f>(H36-_Z1)/COS(E36*PI()/180)</f>
        <v>-0.30991679605922723</v>
      </c>
      <c r="K36" s="37">
        <f t="shared" si="13"/>
        <v>145.54753719885935</v>
      </c>
      <c r="L36" s="37">
        <f t="shared" si="14"/>
        <v>-1173.9289422724037</v>
      </c>
      <c r="M36" s="37">
        <f t="shared" si="15"/>
        <v>2900.6725304591373</v>
      </c>
      <c r="N36" s="37">
        <f t="shared" si="22"/>
        <v>4074.601472731541</v>
      </c>
      <c r="O36" s="37">
        <f t="shared" si="23"/>
        <v>9.5450261262150864</v>
      </c>
      <c r="P36" s="37">
        <f t="shared" si="16"/>
        <v>0.90000000000000013</v>
      </c>
      <c r="Q36" s="37">
        <f t="shared" si="17"/>
        <v>-0.22668738259133148</v>
      </c>
      <c r="R36" s="37">
        <f t="shared" si="24"/>
        <v>10.218338743623756</v>
      </c>
      <c r="S36" s="37">
        <f t="shared" si="25"/>
        <v>9.068262622454764</v>
      </c>
    </row>
    <row r="37" spans="1:19">
      <c r="A37" s="6">
        <f t="shared" si="26"/>
        <v>0</v>
      </c>
      <c r="B37" s="37">
        <f t="shared" si="9"/>
        <v>11.4</v>
      </c>
      <c r="C37" s="37">
        <f t="shared" si="10"/>
        <v>0</v>
      </c>
      <c r="D37" s="37">
        <f t="shared" si="11"/>
        <v>0</v>
      </c>
      <c r="E37" s="37">
        <f t="shared" si="18"/>
        <v>10.021284</v>
      </c>
      <c r="F37" s="37">
        <f t="shared" si="19"/>
        <v>0.17671003132671237</v>
      </c>
      <c r="G37" s="37">
        <f t="shared" si="12"/>
        <v>1.2777707768066955</v>
      </c>
      <c r="H37" s="37">
        <f t="shared" si="20"/>
        <v>-0.22579491399786875</v>
      </c>
      <c r="I37" s="37">
        <f t="shared" si="21"/>
        <v>1.2975675324423352</v>
      </c>
      <c r="J37" s="37">
        <f>(H37-_Z1)/COS(E37*PI()/180)</f>
        <v>-0.12774387950703917</v>
      </c>
      <c r="K37" s="37">
        <f t="shared" si="13"/>
        <v>145.08013384401482</v>
      </c>
      <c r="L37" s="37">
        <f t="shared" si="14"/>
        <v>-479.57314036851955</v>
      </c>
      <c r="M37" s="37">
        <f t="shared" si="15"/>
        <v>3162.5174460660191</v>
      </c>
      <c r="N37" s="37">
        <f t="shared" si="22"/>
        <v>3642.0905864345386</v>
      </c>
      <c r="O37" s="37">
        <f t="shared" si="23"/>
        <v>10.5</v>
      </c>
      <c r="P37" s="37">
        <f t="shared" si="16"/>
        <v>0.90000000000000013</v>
      </c>
      <c r="Q37" s="37">
        <f t="shared" si="17"/>
        <v>-9.3137681354737267E-2</v>
      </c>
      <c r="R37" s="37">
        <f t="shared" si="24"/>
        <v>11.306862318645264</v>
      </c>
      <c r="S37" s="37">
        <f t="shared" si="25"/>
        <v>9.9468873639005722</v>
      </c>
    </row>
    <row r="38" spans="1:19">
      <c r="A38" s="6">
        <f t="shared" si="26"/>
        <v>0.2</v>
      </c>
      <c r="B38" s="37">
        <f t="shared" si="9"/>
        <v>12.354973873784914</v>
      </c>
      <c r="C38" s="37">
        <f t="shared" si="10"/>
        <v>0.19605423492434437</v>
      </c>
      <c r="D38" s="37">
        <f t="shared" si="11"/>
        <v>4.1198134742491913E-2</v>
      </c>
      <c r="E38" s="37">
        <f t="shared" si="18"/>
        <v>10.776992724937973</v>
      </c>
      <c r="F38" s="37">
        <f t="shared" si="19"/>
        <v>0.19034406908649809</v>
      </c>
      <c r="G38" s="37">
        <f t="shared" si="12"/>
        <v>1.3103690095791156</v>
      </c>
      <c r="H38" s="37">
        <f t="shared" si="20"/>
        <v>-4.5524913758129143E-2</v>
      </c>
      <c r="I38" s="37">
        <f t="shared" si="21"/>
        <v>1.2919578919654113</v>
      </c>
      <c r="J38" s="37">
        <f>(H38-_Z1)/COS(E38*PI()/180)</f>
        <v>5.545314581438153E-2</v>
      </c>
      <c r="K38" s="37">
        <f t="shared" si="13"/>
        <v>144.57242765298898</v>
      </c>
      <c r="L38" s="37">
        <f t="shared" si="14"/>
        <v>206.55554288908027</v>
      </c>
      <c r="M38" s="37">
        <f t="shared" si="15"/>
        <v>3423.4838235907223</v>
      </c>
      <c r="N38" s="37">
        <f t="shared" si="22"/>
        <v>3216.9282807016421</v>
      </c>
      <c r="O38" s="37">
        <f t="shared" si="23"/>
        <v>11.454973873784914</v>
      </c>
      <c r="P38" s="37">
        <f t="shared" si="16"/>
        <v>0.90000000000000013</v>
      </c>
      <c r="Q38" s="37">
        <f t="shared" si="17"/>
        <v>4.0289236306969192E-2</v>
      </c>
      <c r="R38" s="37">
        <f t="shared" si="24"/>
        <v>12.395263110091884</v>
      </c>
      <c r="S38" s="37">
        <f t="shared" si="25"/>
        <v>10.808590497952535</v>
      </c>
    </row>
    <row r="39" spans="1:19">
      <c r="A39" s="6">
        <f t="shared" si="26"/>
        <v>0.4</v>
      </c>
      <c r="B39" s="37">
        <f t="shared" si="9"/>
        <v>13.310213171709931</v>
      </c>
      <c r="C39" s="37">
        <f t="shared" si="10"/>
        <v>0.39210846984868875</v>
      </c>
      <c r="D39" s="37">
        <f t="shared" si="11"/>
        <v>8.5729602818317152E-2</v>
      </c>
      <c r="E39" s="37">
        <f t="shared" si="18"/>
        <v>11.519956044639374</v>
      </c>
      <c r="F39" s="37">
        <f t="shared" si="19"/>
        <v>0.20381504089872474</v>
      </c>
      <c r="G39" s="37">
        <f t="shared" si="12"/>
        <v>1.3478691121404864</v>
      </c>
      <c r="H39" s="37">
        <f t="shared" si="20"/>
        <v>0.13486545413629447</v>
      </c>
      <c r="I39" s="37">
        <f t="shared" si="21"/>
        <v>1.2880877726788704</v>
      </c>
      <c r="J39" s="37">
        <f>(H39-_Z1)/COS(E39*PI()/180)</f>
        <v>0.2396940413188578</v>
      </c>
      <c r="K39" s="37">
        <f t="shared" si="13"/>
        <v>144.02440182243021</v>
      </c>
      <c r="L39" s="37">
        <f t="shared" si="14"/>
        <v>886.77942487361906</v>
      </c>
      <c r="M39" s="37">
        <f t="shared" si="15"/>
        <v>3683.5712967467612</v>
      </c>
      <c r="N39" s="37">
        <f t="shared" si="22"/>
        <v>2796.7918718731421</v>
      </c>
      <c r="O39" s="37">
        <f t="shared" si="23"/>
        <v>12.41021317170993</v>
      </c>
      <c r="P39" s="37">
        <f t="shared" si="16"/>
        <v>0.90000000000000013</v>
      </c>
      <c r="Q39" s="37">
        <f t="shared" si="17"/>
        <v>0.17348849962561078</v>
      </c>
      <c r="R39" s="37">
        <f t="shared" si="24"/>
        <v>13.483701671335542</v>
      </c>
      <c r="S39" s="37">
        <f t="shared" si="25"/>
        <v>11.653501108074924</v>
      </c>
    </row>
    <row r="40" spans="1:19">
      <c r="A40" s="6">
        <f t="shared" si="26"/>
        <v>0.60000000000000009</v>
      </c>
      <c r="B40" s="37">
        <f t="shared" si="9"/>
        <v>14.265983982598863</v>
      </c>
      <c r="C40" s="37">
        <f t="shared" si="10"/>
        <v>0.58816270477303323</v>
      </c>
      <c r="D40" s="37">
        <f t="shared" si="11"/>
        <v>0.13359440422747573</v>
      </c>
      <c r="E40" s="37">
        <f t="shared" si="18"/>
        <v>12.25036470045336</v>
      </c>
      <c r="F40" s="37">
        <f t="shared" si="19"/>
        <v>0.21712794884626133</v>
      </c>
      <c r="G40" s="37">
        <f t="shared" si="12"/>
        <v>1.3901782800112654</v>
      </c>
      <c r="H40" s="37">
        <f t="shared" si="20"/>
        <v>0.31532322527081375</v>
      </c>
      <c r="I40" s="37">
        <f t="shared" si="21"/>
        <v>1.2858632969545607</v>
      </c>
      <c r="J40" s="37">
        <f>(H40-_Z1)/COS(E40*PI()/180)</f>
        <v>0.42500059251151795</v>
      </c>
      <c r="K40" s="37">
        <f t="shared" si="13"/>
        <v>143.43600587214814</v>
      </c>
      <c r="L40" s="37">
        <f t="shared" si="14"/>
        <v>1563.2172955621236</v>
      </c>
      <c r="M40" s="37">
        <f t="shared" si="15"/>
        <v>3942.7787651458289</v>
      </c>
      <c r="N40" s="37">
        <f t="shared" si="22"/>
        <v>2379.5614695837053</v>
      </c>
      <c r="O40" s="37">
        <f t="shared" si="23"/>
        <v>13.365983982598863</v>
      </c>
      <c r="P40" s="37">
        <f t="shared" si="16"/>
        <v>0.90000000000000013</v>
      </c>
      <c r="Q40" s="37">
        <f t="shared" si="17"/>
        <v>0.30635508410158446</v>
      </c>
      <c r="R40" s="37">
        <f t="shared" si="24"/>
        <v>14.572339066700447</v>
      </c>
      <c r="S40" s="37">
        <f t="shared" si="25"/>
        <v>12.481738736320752</v>
      </c>
    </row>
    <row r="41" spans="1:19">
      <c r="A41" s="6">
        <f t="shared" si="26"/>
        <v>0.8</v>
      </c>
      <c r="B41" s="37">
        <f t="shared" si="9"/>
        <v>15.222553729274345</v>
      </c>
      <c r="C41" s="37">
        <f t="shared" si="10"/>
        <v>0.78421693969737749</v>
      </c>
      <c r="D41" s="37">
        <f t="shared" si="11"/>
        <v>0.18479253896996764</v>
      </c>
      <c r="E41" s="37">
        <f t="shared" si="18"/>
        <v>12.968395971614797</v>
      </c>
      <c r="F41" s="37">
        <f t="shared" si="19"/>
        <v>0.23028727064600518</v>
      </c>
      <c r="G41" s="37">
        <f t="shared" si="12"/>
        <v>1.4372056493095333</v>
      </c>
      <c r="H41" s="37">
        <f t="shared" si="20"/>
        <v>0.49580214279600476</v>
      </c>
      <c r="I41" s="37">
        <f t="shared" si="21"/>
        <v>1.2851932516248619</v>
      </c>
      <c r="J41" s="37">
        <f>(H41-_Z1)/COS(E41*PI()/180)</f>
        <v>0.61139642096005231</v>
      </c>
      <c r="K41" s="37">
        <f t="shared" si="13"/>
        <v>142.80715543402201</v>
      </c>
      <c r="L41" s="37">
        <f t="shared" si="14"/>
        <v>2237.7838205533685</v>
      </c>
      <c r="M41" s="37">
        <f t="shared" si="15"/>
        <v>4201.1043896963374</v>
      </c>
      <c r="N41" s="37">
        <f t="shared" si="22"/>
        <v>1963.3205691429689</v>
      </c>
      <c r="O41" s="37">
        <f t="shared" si="23"/>
        <v>14.322553729274345</v>
      </c>
      <c r="P41" s="37">
        <f t="shared" si="16"/>
        <v>0.90000000000000013</v>
      </c>
      <c r="Q41" s="37">
        <f t="shared" si="17"/>
        <v>0.43878344526512753</v>
      </c>
      <c r="R41" s="37">
        <f t="shared" si="24"/>
        <v>15.661337174539472</v>
      </c>
      <c r="S41" s="37">
        <f t="shared" si="25"/>
        <v>13.293413564686148</v>
      </c>
    </row>
    <row r="43" spans="1:19" ht="15.75">
      <c r="B43" s="50" t="s">
        <v>76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2"/>
      <c r="P43" s="52"/>
      <c r="Q43" s="52"/>
      <c r="R43" s="52"/>
      <c r="S43" s="52"/>
    </row>
    <row r="44" spans="1:19">
      <c r="A44" s="6" t="s">
        <v>11</v>
      </c>
      <c r="B44" s="38" t="s">
        <v>15</v>
      </c>
      <c r="C44" s="38" t="s">
        <v>65</v>
      </c>
      <c r="D44" s="38" t="s">
        <v>66</v>
      </c>
      <c r="E44" s="38" t="s">
        <v>24</v>
      </c>
      <c r="F44" s="38" t="s">
        <v>25</v>
      </c>
      <c r="G44" s="38" t="s">
        <v>67</v>
      </c>
      <c r="H44" s="38" t="s">
        <v>68</v>
      </c>
      <c r="I44" s="38" t="s">
        <v>22</v>
      </c>
      <c r="J44" s="38" t="s">
        <v>23</v>
      </c>
      <c r="K44" s="38" t="s">
        <v>70</v>
      </c>
      <c r="L44" s="38" t="s">
        <v>71</v>
      </c>
      <c r="M44" s="38" t="s">
        <v>72</v>
      </c>
      <c r="N44" s="38" t="s">
        <v>73</v>
      </c>
      <c r="O44" s="38" t="s">
        <v>96</v>
      </c>
      <c r="P44" s="38" t="s">
        <v>97</v>
      </c>
      <c r="Q44" s="38" t="s">
        <v>98</v>
      </c>
      <c r="R44" s="38" t="s">
        <v>99</v>
      </c>
      <c r="S44" s="38" t="s">
        <v>100</v>
      </c>
    </row>
    <row r="45" spans="1:19">
      <c r="A45" s="6">
        <v>-0.6</v>
      </c>
      <c r="B45" s="38">
        <f t="shared" ref="B45:B52" si="27">Lo + Csb*(_X2-_F) + ASIN(A34/_R)*180/PI()</f>
        <v>8.5340160174011395</v>
      </c>
      <c r="C45" s="38">
        <f t="shared" ref="C45:C52" si="28">A34 * COS((Lo + Csb*(_X2-_F)) * PI()/180)</f>
        <v>-0.58816270477303312</v>
      </c>
      <c r="D45" s="38">
        <f t="shared" ref="D45:D52" si="29">A34*SIN((Lo + Csb*(_X2-_F))*PI()/180) + A34^2/(2*_R)</f>
        <v>-0.10359440422747571</v>
      </c>
      <c r="E45" s="38">
        <f>B45*(0.96-0.0071*B45)</f>
        <v>7.6755664280697529</v>
      </c>
      <c r="F45" s="38">
        <f>TAN(E45*PI()/180)</f>
        <v>0.134771087738986</v>
      </c>
      <c r="G45" s="38">
        <f t="shared" ref="G45:G52" si="30">(F45/(1+F45^2)) * (C45 + D45*F45 - _Z2 + _X2/F45)</f>
        <v>1.223581075219754</v>
      </c>
      <c r="H45" s="38">
        <f>(D45-G45)*F45 + C45</f>
        <v>-0.76702758775864655</v>
      </c>
      <c r="I45" s="38">
        <f>SQRT((G45-D45)^2+(H45-C45)^2)</f>
        <v>1.339174148350931</v>
      </c>
      <c r="J45" s="38">
        <f>(H45-_Z2)/COS(E45*PI()/180)</f>
        <v>-0.57215394549365695</v>
      </c>
      <c r="K45" s="38">
        <f t="shared" ref="K45:K52" si="31">Vc*SF*COS(B45*PI()/180)</f>
        <v>146.36133450975919</v>
      </c>
      <c r="L45" s="38">
        <f>58830*K45*I45*J45/_Iv2</f>
        <v>-2236.4188661463659</v>
      </c>
      <c r="M45" s="38">
        <f t="shared" ref="M45:M52" si="32">160*Vc*SIN(B45*PI()/180)</f>
        <v>2374.3448857510739</v>
      </c>
      <c r="N45" s="38">
        <f>M45-L45</f>
        <v>4610.7637518974398</v>
      </c>
      <c r="O45" s="38">
        <f>B45-P45</f>
        <v>7.6340160174011391</v>
      </c>
      <c r="P45" s="38">
        <f t="shared" ref="P45:P52" si="33">Csb*(_X2-_F)</f>
        <v>0.90000000000000013</v>
      </c>
      <c r="Q45" s="38">
        <f t="shared" ref="Q45:Q52" si="34">0.0002*Fage*5.04*L45/I45</f>
        <v>-0.42083963087465348</v>
      </c>
      <c r="R45" s="38">
        <f>O45+P45+Q45</f>
        <v>8.1131763865264865</v>
      </c>
      <c r="S45" s="38">
        <f>R45*(0.96-0.0071*R45)</f>
        <v>7.3213015504053001</v>
      </c>
    </row>
    <row r="46" spans="1:19">
      <c r="A46" s="6">
        <f>A45+0.2</f>
        <v>-0.39999999999999997</v>
      </c>
      <c r="B46" s="38">
        <f t="shared" si="27"/>
        <v>9.4897868282900699</v>
      </c>
      <c r="C46" s="38">
        <f t="shared" si="28"/>
        <v>-0.39210846984868869</v>
      </c>
      <c r="D46" s="38">
        <f t="shared" si="29"/>
        <v>-7.2396269484983802E-2</v>
      </c>
      <c r="E46" s="38">
        <f t="shared" ref="E46:E52" si="35">B46*(0.96-0.0071*B46)</f>
        <v>8.4707973714291143</v>
      </c>
      <c r="F46" s="38">
        <f t="shared" ref="F46:F52" si="36">TAN(E46*PI()/180)</f>
        <v>0.14892997491847307</v>
      </c>
      <c r="G46" s="38">
        <f t="shared" si="30"/>
        <v>1.2422306839093691</v>
      </c>
      <c r="H46" s="38">
        <f t="shared" ref="H46:H52" si="37">(D46-G46)*F46 + C46</f>
        <v>-0.58789582904485838</v>
      </c>
      <c r="I46" s="38">
        <f t="shared" ref="I46:I52" si="38">SQRT((G46-D46)^2+(H46-C46)^2)</f>
        <v>1.3291262982169632</v>
      </c>
      <c r="J46" s="38">
        <f>(H46-_Z2)/COS(E46*PI()/180)</f>
        <v>-0.39217402778865562</v>
      </c>
      <c r="K46" s="38">
        <f t="shared" si="31"/>
        <v>145.97462091417094</v>
      </c>
      <c r="L46" s="38">
        <f t="shared" ref="L46:L52" si="39">58830*K46*I46*J46/_Iv1</f>
        <v>-1517.3971644842538</v>
      </c>
      <c r="M46" s="38">
        <f t="shared" si="32"/>
        <v>2637.9487104835912</v>
      </c>
      <c r="N46" s="38">
        <f t="shared" ref="N46:N52" si="40">M46-L46</f>
        <v>4155.3458749678448</v>
      </c>
      <c r="O46" s="38">
        <f t="shared" ref="O46:O52" si="41">B46-P46</f>
        <v>8.5897868282900696</v>
      </c>
      <c r="P46" s="38">
        <f t="shared" si="33"/>
        <v>0.90000000000000013</v>
      </c>
      <c r="Q46" s="38">
        <f t="shared" si="34"/>
        <v>-0.28769582391305037</v>
      </c>
      <c r="R46" s="38">
        <f t="shared" ref="R46:R52" si="42">O46+P46+Q46</f>
        <v>9.202091004377019</v>
      </c>
      <c r="S46" s="38">
        <f t="shared" ref="S46:S52" si="43">R46*(0.96-0.0071*R46)</f>
        <v>8.2327901643467989</v>
      </c>
    </row>
    <row r="47" spans="1:19">
      <c r="A47" s="6">
        <f t="shared" ref="A47:A52" si="44">A46+0.2</f>
        <v>-0.19999999999999996</v>
      </c>
      <c r="B47" s="38">
        <f t="shared" si="27"/>
        <v>10.445026126215087</v>
      </c>
      <c r="C47" s="38">
        <f t="shared" si="28"/>
        <v>-0.19605423492434432</v>
      </c>
      <c r="D47" s="38">
        <f t="shared" si="29"/>
        <v>-3.7864801409158565E-2</v>
      </c>
      <c r="E47" s="38">
        <f t="shared" si="35"/>
        <v>9.2526252286475419</v>
      </c>
      <c r="F47" s="38">
        <f t="shared" si="36"/>
        <v>0.16290737630160979</v>
      </c>
      <c r="G47" s="38">
        <f t="shared" si="30"/>
        <v>1.2660387416073198</v>
      </c>
      <c r="H47" s="38">
        <f t="shared" si="37"/>
        <v>-0.40846974006753201</v>
      </c>
      <c r="I47" s="38">
        <f t="shared" si="38"/>
        <v>1.3210922739597566</v>
      </c>
      <c r="J47" s="38">
        <f>(H47-_Z2)/COS(E47*PI()/180)</f>
        <v>-0.21121789601129623</v>
      </c>
      <c r="K47" s="38">
        <f t="shared" si="31"/>
        <v>145.54753719885935</v>
      </c>
      <c r="L47" s="38">
        <f t="shared" si="39"/>
        <v>-809.926406024887</v>
      </c>
      <c r="M47" s="38">
        <f t="shared" si="32"/>
        <v>2900.6725304591373</v>
      </c>
      <c r="N47" s="38">
        <f t="shared" si="40"/>
        <v>3710.5989364840243</v>
      </c>
      <c r="O47" s="38">
        <f t="shared" si="41"/>
        <v>9.5450261262150864</v>
      </c>
      <c r="P47" s="38">
        <f t="shared" si="33"/>
        <v>0.90000000000000013</v>
      </c>
      <c r="Q47" s="38">
        <f t="shared" si="34"/>
        <v>-0.15449447274906167</v>
      </c>
      <c r="R47" s="38">
        <f t="shared" si="42"/>
        <v>10.290531653466026</v>
      </c>
      <c r="S47" s="38">
        <f t="shared" si="43"/>
        <v>9.1270555911793831</v>
      </c>
    </row>
    <row r="48" spans="1:19">
      <c r="A48" s="6">
        <f t="shared" si="44"/>
        <v>0</v>
      </c>
      <c r="B48" s="38">
        <f t="shared" si="27"/>
        <v>11.4</v>
      </c>
      <c r="C48" s="38">
        <f t="shared" si="28"/>
        <v>0</v>
      </c>
      <c r="D48" s="38">
        <f t="shared" si="29"/>
        <v>0</v>
      </c>
      <c r="E48" s="38">
        <f t="shared" si="35"/>
        <v>10.021284</v>
      </c>
      <c r="F48" s="38">
        <f t="shared" si="36"/>
        <v>0.17671003132671237</v>
      </c>
      <c r="G48" s="38">
        <f t="shared" si="30"/>
        <v>1.2949066865642189</v>
      </c>
      <c r="H48" s="38">
        <f t="shared" si="37"/>
        <v>-0.22882300114793244</v>
      </c>
      <c r="I48" s="38">
        <f t="shared" si="38"/>
        <v>1.3149689322425344</v>
      </c>
      <c r="J48" s="38">
        <f>(H48-_Z2)/COS(E48*PI()/180)</f>
        <v>-2.9269561611490212E-2</v>
      </c>
      <c r="K48" s="38">
        <f t="shared" si="31"/>
        <v>145.08013384401482</v>
      </c>
      <c r="L48" s="38">
        <f t="shared" si="39"/>
        <v>-111.35673528386664</v>
      </c>
      <c r="M48" s="38">
        <f t="shared" si="32"/>
        <v>3162.5174460660191</v>
      </c>
      <c r="N48" s="38">
        <f t="shared" si="40"/>
        <v>3273.8741813498859</v>
      </c>
      <c r="O48" s="38">
        <f t="shared" si="41"/>
        <v>10.5</v>
      </c>
      <c r="P48" s="38">
        <f t="shared" si="33"/>
        <v>0.90000000000000013</v>
      </c>
      <c r="Q48" s="38">
        <f t="shared" si="34"/>
        <v>-2.1340350029166032E-2</v>
      </c>
      <c r="R48" s="38">
        <f t="shared" si="42"/>
        <v>11.378659649970833</v>
      </c>
      <c r="S48" s="38">
        <f t="shared" si="43"/>
        <v>10.004248606419891</v>
      </c>
    </row>
    <row r="49" spans="1:19">
      <c r="A49" s="6">
        <f t="shared" si="44"/>
        <v>0.2</v>
      </c>
      <c r="B49" s="38">
        <f t="shared" si="27"/>
        <v>12.354973873784914</v>
      </c>
      <c r="C49" s="38">
        <f t="shared" si="28"/>
        <v>0.19605423492434437</v>
      </c>
      <c r="D49" s="38">
        <f t="shared" si="29"/>
        <v>4.1198134742491913E-2</v>
      </c>
      <c r="E49" s="38">
        <f t="shared" si="35"/>
        <v>10.776992724937973</v>
      </c>
      <c r="F49" s="38">
        <f t="shared" si="36"/>
        <v>0.19034406908649809</v>
      </c>
      <c r="G49" s="38">
        <f t="shared" si="30"/>
        <v>1.328737895855562</v>
      </c>
      <c r="H49" s="38">
        <f t="shared" si="37"/>
        <v>-4.9021322316575106E-2</v>
      </c>
      <c r="I49" s="38">
        <f t="shared" si="38"/>
        <v>1.3106565779043911</v>
      </c>
      <c r="J49" s="38">
        <f>(H49-_Z2)/COS(E49*PI()/180)</f>
        <v>0.15368938731493673</v>
      </c>
      <c r="K49" s="38">
        <f t="shared" si="31"/>
        <v>144.57242765298898</v>
      </c>
      <c r="L49" s="38">
        <f t="shared" si="39"/>
        <v>580.75786083819185</v>
      </c>
      <c r="M49" s="38">
        <f t="shared" si="32"/>
        <v>3423.4838235907223</v>
      </c>
      <c r="N49" s="38">
        <f t="shared" si="40"/>
        <v>2842.7259627525304</v>
      </c>
      <c r="O49" s="38">
        <f t="shared" si="41"/>
        <v>11.454973873784914</v>
      </c>
      <c r="P49" s="38">
        <f t="shared" si="33"/>
        <v>0.90000000000000013</v>
      </c>
      <c r="Q49" s="38">
        <f t="shared" si="34"/>
        <v>0.1116623403860872</v>
      </c>
      <c r="R49" s="38">
        <f t="shared" si="42"/>
        <v>12.466636214171</v>
      </c>
      <c r="S49" s="38">
        <f t="shared" si="43"/>
        <v>10.864509934279152</v>
      </c>
    </row>
    <row r="50" spans="1:19">
      <c r="A50" s="6">
        <f t="shared" si="44"/>
        <v>0.4</v>
      </c>
      <c r="B50" s="38">
        <f t="shared" si="27"/>
        <v>13.310213171709931</v>
      </c>
      <c r="C50" s="38">
        <f t="shared" si="28"/>
        <v>0.39210846984868875</v>
      </c>
      <c r="D50" s="38">
        <f t="shared" si="29"/>
        <v>8.5729602818317152E-2</v>
      </c>
      <c r="E50" s="38">
        <f t="shared" si="35"/>
        <v>11.519956044639374</v>
      </c>
      <c r="F50" s="38">
        <f t="shared" si="36"/>
        <v>0.20381504089872474</v>
      </c>
      <c r="G50" s="38">
        <f t="shared" si="30"/>
        <v>1.3674377248852865</v>
      </c>
      <c r="H50" s="38">
        <f t="shared" si="37"/>
        <v>0.13087707652938174</v>
      </c>
      <c r="I50" s="38">
        <f t="shared" si="38"/>
        <v>1.30805869555918</v>
      </c>
      <c r="J50" s="38">
        <f>(H50-_Z2)/COS(E50*PI()/180)</f>
        <v>0.33767956187831966</v>
      </c>
      <c r="K50" s="38">
        <f t="shared" si="31"/>
        <v>144.02440182243021</v>
      </c>
      <c r="L50" s="38">
        <f t="shared" si="39"/>
        <v>1268.6590458221567</v>
      </c>
      <c r="M50" s="38">
        <f t="shared" si="32"/>
        <v>3683.5712967467612</v>
      </c>
      <c r="N50" s="38">
        <f t="shared" si="40"/>
        <v>2414.9122509246045</v>
      </c>
      <c r="O50" s="38">
        <f t="shared" si="41"/>
        <v>12.41021317170993</v>
      </c>
      <c r="P50" s="38">
        <f t="shared" si="33"/>
        <v>0.90000000000000013</v>
      </c>
      <c r="Q50" s="38">
        <f t="shared" si="34"/>
        <v>0.24440958240831429</v>
      </c>
      <c r="R50" s="38">
        <f t="shared" si="42"/>
        <v>13.554622754118245</v>
      </c>
      <c r="S50" s="38">
        <f t="shared" si="43"/>
        <v>11.707970478107649</v>
      </c>
    </row>
    <row r="51" spans="1:19">
      <c r="A51" s="6">
        <f t="shared" si="44"/>
        <v>0.60000000000000009</v>
      </c>
      <c r="B51" s="38">
        <f t="shared" si="27"/>
        <v>14.265983982598863</v>
      </c>
      <c r="C51" s="38">
        <f t="shared" si="28"/>
        <v>0.58816270477303323</v>
      </c>
      <c r="D51" s="38">
        <f t="shared" si="29"/>
        <v>0.13359440422747573</v>
      </c>
      <c r="E51" s="38">
        <f t="shared" si="35"/>
        <v>12.25036470045336</v>
      </c>
      <c r="F51" s="38">
        <f t="shared" si="36"/>
        <v>0.21712794884626133</v>
      </c>
      <c r="G51" s="38">
        <f t="shared" si="30"/>
        <v>1.4109135213531014</v>
      </c>
      <c r="H51" s="38">
        <f t="shared" si="37"/>
        <v>0.3108210248494287</v>
      </c>
      <c r="I51" s="38">
        <f t="shared" si="38"/>
        <v>1.3070816861992349</v>
      </c>
      <c r="J51" s="38">
        <f>(H51-_Z2)/COS(E51*PI()/180)</f>
        <v>0.52272356809997145</v>
      </c>
      <c r="K51" s="38">
        <f t="shared" si="31"/>
        <v>143.43600587214814</v>
      </c>
      <c r="L51" s="38">
        <f t="shared" si="39"/>
        <v>1954.3836784255129</v>
      </c>
      <c r="M51" s="38">
        <f t="shared" si="32"/>
        <v>3942.7787651458289</v>
      </c>
      <c r="N51" s="38">
        <f t="shared" si="40"/>
        <v>1988.3950867203159</v>
      </c>
      <c r="O51" s="38">
        <f t="shared" si="41"/>
        <v>13.365983982598863</v>
      </c>
      <c r="P51" s="38">
        <f t="shared" si="33"/>
        <v>0.90000000000000013</v>
      </c>
      <c r="Q51" s="38">
        <f t="shared" si="34"/>
        <v>0.37679717508348448</v>
      </c>
      <c r="R51" s="38">
        <f t="shared" si="42"/>
        <v>14.642781157682348</v>
      </c>
      <c r="S51" s="38">
        <f t="shared" si="43"/>
        <v>12.534751527149437</v>
      </c>
    </row>
    <row r="52" spans="1:19">
      <c r="A52" s="6">
        <f t="shared" si="44"/>
        <v>0.8</v>
      </c>
      <c r="B52" s="38">
        <f t="shared" si="27"/>
        <v>15.222553729274345</v>
      </c>
      <c r="C52" s="38">
        <f t="shared" si="28"/>
        <v>0.78421693969737749</v>
      </c>
      <c r="D52" s="38">
        <f t="shared" si="29"/>
        <v>0.18479253896996764</v>
      </c>
      <c r="E52" s="38">
        <f t="shared" si="35"/>
        <v>12.968395971614797</v>
      </c>
      <c r="F52" s="38">
        <f t="shared" si="36"/>
        <v>0.23028727064600518</v>
      </c>
      <c r="G52" s="38">
        <f t="shared" si="30"/>
        <v>1.4590746163493509</v>
      </c>
      <c r="H52" s="38">
        <f t="shared" si="37"/>
        <v>0.49076599806455773</v>
      </c>
      <c r="I52" s="38">
        <f t="shared" si="38"/>
        <v>1.3076346079373646</v>
      </c>
      <c r="J52" s="38">
        <f>(H52-_Z2)/COS(E52*PI()/180)</f>
        <v>0.70884582078814407</v>
      </c>
      <c r="K52" s="38">
        <f t="shared" si="31"/>
        <v>142.80715543402201</v>
      </c>
      <c r="L52" s="38">
        <f t="shared" si="39"/>
        <v>2639.7633219265854</v>
      </c>
      <c r="M52" s="38">
        <f t="shared" si="32"/>
        <v>4201.1043896963374</v>
      </c>
      <c r="N52" s="38">
        <f t="shared" si="40"/>
        <v>1561.341067769752</v>
      </c>
      <c r="O52" s="38">
        <f t="shared" si="41"/>
        <v>14.322553729274345</v>
      </c>
      <c r="P52" s="38">
        <f t="shared" si="33"/>
        <v>0.90000000000000013</v>
      </c>
      <c r="Q52" s="38">
        <f t="shared" si="34"/>
        <v>0.50872036659751929</v>
      </c>
      <c r="R52" s="38">
        <f t="shared" si="42"/>
        <v>15.731274095871864</v>
      </c>
      <c r="S52" s="38">
        <f t="shared" si="43"/>
        <v>13.344964940812899</v>
      </c>
    </row>
  </sheetData>
  <sheetProtection sheet="1" objects="1" scenarios="1"/>
  <mergeCells count="3">
    <mergeCell ref="A1:F1"/>
    <mergeCell ref="B32:S32"/>
    <mergeCell ref="B43:S4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Introduction</vt:lpstr>
      <vt:lpstr>Calculations</vt:lpstr>
      <vt:lpstr>Sheet3</vt:lpstr>
      <vt:lpstr>_F</vt:lpstr>
      <vt:lpstr>_Iv1</vt:lpstr>
      <vt:lpstr>_Iv2</vt:lpstr>
      <vt:lpstr>_R</vt:lpstr>
      <vt:lpstr>_X1</vt:lpstr>
      <vt:lpstr>_X2</vt:lpstr>
      <vt:lpstr>_Z1</vt:lpstr>
      <vt:lpstr>_Z2</vt:lpstr>
      <vt:lpstr>Csb</vt:lpstr>
      <vt:lpstr>Fage</vt:lpstr>
      <vt:lpstr>Lo</vt:lpstr>
      <vt:lpstr>SF</vt:lpstr>
      <vt:lpstr>Vc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DaveT</dc:creator>
  <cp:lastModifiedBy>DaveT</cp:lastModifiedBy>
  <dcterms:created xsi:type="dcterms:W3CDTF">2013-03-30T00:33:12Z</dcterms:created>
  <dcterms:modified xsi:type="dcterms:W3CDTF">2014-03-07T02:57:00Z</dcterms:modified>
</cp:coreProperties>
</file>